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kaidi89\Documents\1#TÖÖS projektid-uuringud\2# RITA C-19 Majandus\ARUANDED\IV 8.21-10.21\"/>
    </mc:Choice>
  </mc:AlternateContent>
  <bookViews>
    <workbookView xWindow="0" yWindow="0" windowWidth="11220" windowHeight="8880" tabRatio="828" firstSheet="4" activeTab="4"/>
  </bookViews>
  <sheets>
    <sheet name="Projekti üldandmed" sheetId="14" r:id="rId1"/>
    <sheet name="Projekti tegevus ja ajakava " sheetId="10" r:id="rId2"/>
    <sheet name="Aruandeperioodil tekkinud IO" sheetId="12" r:id="rId3"/>
    <sheet name="Tulemuste levit. ja rakend. " sheetId="13" r:id="rId4"/>
    <sheet name="Kogu projekti eelarve" sheetId="9" r:id="rId5"/>
    <sheet name="Tartu Ülikool" sheetId="15" r:id="rId6"/>
    <sheet name="Praxis" sheetId="16" r:id="rId7"/>
    <sheet name="CentAR" sheetId="1"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8" i="16" l="1"/>
  <c r="K11" i="9" l="1"/>
  <c r="K12" i="9"/>
  <c r="K13" i="9"/>
  <c r="K14" i="9"/>
  <c r="G13" i="9"/>
  <c r="G15" i="9"/>
  <c r="K17" i="1"/>
  <c r="K15" i="1"/>
  <c r="K6" i="1"/>
  <c r="G17" i="1"/>
  <c r="G15" i="1"/>
  <c r="G13" i="1"/>
  <c r="G10" i="1"/>
  <c r="G6" i="1"/>
  <c r="G8" i="9" s="1"/>
  <c r="K7" i="16"/>
  <c r="K6" i="16"/>
  <c r="G12" i="16"/>
  <c r="G14" i="9" s="1"/>
  <c r="G17" i="16"/>
  <c r="G10" i="16"/>
  <c r="G7" i="16"/>
  <c r="G6" i="16"/>
  <c r="K17" i="15"/>
  <c r="K19" i="9" s="1"/>
  <c r="G17" i="15"/>
  <c r="G19" i="9" s="1"/>
  <c r="K15" i="15"/>
  <c r="K17" i="9" s="1"/>
  <c r="G15" i="15"/>
  <c r="G17" i="9" s="1"/>
  <c r="K13" i="15"/>
  <c r="K15" i="9" s="1"/>
  <c r="G13" i="15"/>
  <c r="G12" i="15"/>
  <c r="H12" i="15" s="1"/>
  <c r="K10" i="15"/>
  <c r="G10" i="15"/>
  <c r="G12" i="9" s="1"/>
  <c r="G9" i="15"/>
  <c r="G11" i="9" s="1"/>
  <c r="K7" i="15"/>
  <c r="K9" i="9" s="1"/>
  <c r="G7" i="15"/>
  <c r="M7" i="15" s="1"/>
  <c r="K6" i="15"/>
  <c r="K8" i="9" s="1"/>
  <c r="G6" i="15"/>
  <c r="G9" i="9" l="1"/>
  <c r="G18" i="15"/>
  <c r="M8" i="9"/>
  <c r="C15" i="15" l="1"/>
  <c r="C16" i="15" s="1"/>
  <c r="H6" i="15"/>
  <c r="C17" i="15" l="1"/>
  <c r="C18" i="15" s="1"/>
  <c r="J15" i="9" l="1"/>
  <c r="I15" i="9"/>
  <c r="J14" i="9"/>
  <c r="I14" i="9"/>
  <c r="L14" i="9" s="1"/>
  <c r="J13" i="9"/>
  <c r="I13" i="9"/>
  <c r="L13" i="9" s="1"/>
  <c r="J12" i="9"/>
  <c r="I12" i="9"/>
  <c r="L12" i="9" s="1"/>
  <c r="J11" i="9"/>
  <c r="I11" i="9"/>
  <c r="J9" i="9"/>
  <c r="I9" i="9"/>
  <c r="L9" i="9" s="1"/>
  <c r="J8" i="9"/>
  <c r="I8" i="9"/>
  <c r="L8" i="9" s="1"/>
  <c r="F9" i="9"/>
  <c r="F11" i="9"/>
  <c r="F12" i="9"/>
  <c r="F13" i="9"/>
  <c r="F14" i="9"/>
  <c r="F15" i="9"/>
  <c r="F8" i="9"/>
  <c r="E9" i="9"/>
  <c r="E11" i="9"/>
  <c r="E12" i="9"/>
  <c r="E13" i="9"/>
  <c r="E14" i="9"/>
  <c r="E15" i="9"/>
  <c r="E8" i="9"/>
  <c r="D9" i="9"/>
  <c r="D11" i="9"/>
  <c r="D12" i="9"/>
  <c r="D13" i="9"/>
  <c r="D14" i="9"/>
  <c r="D15" i="9"/>
  <c r="D8" i="9"/>
  <c r="C9" i="9"/>
  <c r="C11" i="9"/>
  <c r="C12" i="9"/>
  <c r="C13" i="9"/>
  <c r="C14" i="9"/>
  <c r="C15" i="9"/>
  <c r="C8" i="9"/>
  <c r="J15" i="16"/>
  <c r="J16" i="16" s="1"/>
  <c r="J17" i="16" s="1"/>
  <c r="I15" i="16"/>
  <c r="I16" i="16" s="1"/>
  <c r="I17" i="16" s="1"/>
  <c r="L17" i="16" s="1"/>
  <c r="J15" i="1"/>
  <c r="J16" i="1" s="1"/>
  <c r="J17" i="1" s="1"/>
  <c r="J18" i="1" s="1"/>
  <c r="I15" i="1"/>
  <c r="L15" i="1" s="1"/>
  <c r="F15" i="1"/>
  <c r="F16" i="1" s="1"/>
  <c r="F17" i="1" s="1"/>
  <c r="F18" i="1" s="1"/>
  <c r="E15" i="1"/>
  <c r="E16" i="1" s="1"/>
  <c r="E17" i="1" s="1"/>
  <c r="E18" i="1" s="1"/>
  <c r="D15" i="1"/>
  <c r="D16" i="1" s="1"/>
  <c r="D17" i="1" s="1"/>
  <c r="D18" i="1" s="1"/>
  <c r="C15" i="1"/>
  <c r="F15" i="16"/>
  <c r="F16" i="16" s="1"/>
  <c r="F17" i="16" s="1"/>
  <c r="E15" i="16"/>
  <c r="E16" i="16" s="1"/>
  <c r="E17" i="16" s="1"/>
  <c r="E18" i="16" s="1"/>
  <c r="D15" i="16"/>
  <c r="D16" i="16" s="1"/>
  <c r="D17" i="16" s="1"/>
  <c r="D18" i="16" s="1"/>
  <c r="C15" i="16"/>
  <c r="C16" i="16" s="1"/>
  <c r="J15" i="15"/>
  <c r="J17" i="9" s="1"/>
  <c r="I15" i="15"/>
  <c r="L15" i="15" s="1"/>
  <c r="F15" i="15"/>
  <c r="F16" i="15" s="1"/>
  <c r="E15" i="15"/>
  <c r="D15" i="15"/>
  <c r="D16" i="15" s="1"/>
  <c r="L15" i="9"/>
  <c r="L11" i="9"/>
  <c r="L13" i="15"/>
  <c r="L12" i="15"/>
  <c r="L11" i="15"/>
  <c r="L10" i="15"/>
  <c r="L9" i="15"/>
  <c r="L7" i="15"/>
  <c r="L6" i="15"/>
  <c r="L13" i="16"/>
  <c r="L12" i="16"/>
  <c r="L11" i="16"/>
  <c r="L10" i="16"/>
  <c r="L9" i="16"/>
  <c r="L7" i="16"/>
  <c r="L6" i="16"/>
  <c r="H13" i="15"/>
  <c r="H11" i="15"/>
  <c r="H10" i="15"/>
  <c r="H9" i="15"/>
  <c r="H7" i="15"/>
  <c r="H13" i="16"/>
  <c r="H12" i="16"/>
  <c r="H11" i="16"/>
  <c r="H10" i="16"/>
  <c r="H9" i="16"/>
  <c r="H7" i="16"/>
  <c r="H6" i="16"/>
  <c r="L13" i="1"/>
  <c r="L12" i="1"/>
  <c r="L11" i="1"/>
  <c r="L10" i="1"/>
  <c r="L9" i="1"/>
  <c r="L7" i="1"/>
  <c r="L6" i="1"/>
  <c r="H13" i="1"/>
  <c r="H12" i="1"/>
  <c r="H11" i="1"/>
  <c r="H10" i="1"/>
  <c r="H9" i="1"/>
  <c r="H7" i="1"/>
  <c r="H6" i="1"/>
  <c r="H9" i="9" l="1"/>
  <c r="E17" i="9"/>
  <c r="H14" i="9"/>
  <c r="H8" i="9"/>
  <c r="F17" i="15"/>
  <c r="F18" i="9"/>
  <c r="I16" i="15"/>
  <c r="I18" i="16"/>
  <c r="I17" i="9"/>
  <c r="L17" i="9" s="1"/>
  <c r="J16" i="15"/>
  <c r="J18" i="16"/>
  <c r="E16" i="15"/>
  <c r="E17" i="15" s="1"/>
  <c r="H15" i="1"/>
  <c r="F17" i="9"/>
  <c r="H15" i="16"/>
  <c r="H13" i="9"/>
  <c r="H15" i="9"/>
  <c r="D18" i="9"/>
  <c r="D17" i="15"/>
  <c r="H15" i="15"/>
  <c r="D17" i="9"/>
  <c r="C16" i="1"/>
  <c r="C17" i="1" s="1"/>
  <c r="C18" i="1" s="1"/>
  <c r="C18" i="9"/>
  <c r="C17" i="9"/>
  <c r="C17" i="16"/>
  <c r="C18" i="16" s="1"/>
  <c r="H11" i="9"/>
  <c r="H12" i="9"/>
  <c r="L15" i="16"/>
  <c r="I16" i="1"/>
  <c r="I17" i="1" s="1"/>
  <c r="I18" i="1" s="1"/>
  <c r="L17" i="1" l="1"/>
  <c r="H17" i="15"/>
  <c r="E18" i="9"/>
  <c r="I18" i="9"/>
  <c r="I17" i="15"/>
  <c r="I18" i="15" s="1"/>
  <c r="J18" i="9"/>
  <c r="J18" i="15"/>
  <c r="J20" i="9" s="1"/>
  <c r="J17" i="15"/>
  <c r="J19" i="9" s="1"/>
  <c r="F18" i="15"/>
  <c r="F20" i="9" s="1"/>
  <c r="B14" i="14" s="1"/>
  <c r="F19" i="9"/>
  <c r="H17" i="9"/>
  <c r="D18" i="15"/>
  <c r="D19" i="9"/>
  <c r="H17" i="1"/>
  <c r="C20" i="9"/>
  <c r="H17" i="16"/>
  <c r="C19" i="9"/>
  <c r="M17" i="1"/>
  <c r="M16" i="1"/>
  <c r="M15" i="1"/>
  <c r="M13" i="1"/>
  <c r="M12" i="1"/>
  <c r="M11" i="1"/>
  <c r="M10" i="1"/>
  <c r="M9" i="1"/>
  <c r="M7" i="1"/>
  <c r="M6" i="1"/>
  <c r="M17" i="16"/>
  <c r="M16" i="16"/>
  <c r="M15" i="16"/>
  <c r="M13" i="16"/>
  <c r="M12" i="16"/>
  <c r="M11" i="16"/>
  <c r="M10" i="16"/>
  <c r="M9" i="16"/>
  <c r="M7" i="16"/>
  <c r="M6" i="16"/>
  <c r="M17" i="15"/>
  <c r="M16" i="15"/>
  <c r="M15" i="15"/>
  <c r="M13" i="15"/>
  <c r="M12" i="15"/>
  <c r="M11" i="15"/>
  <c r="M10" i="15"/>
  <c r="M9" i="15"/>
  <c r="M6" i="15"/>
  <c r="M9" i="9"/>
  <c r="M11" i="9"/>
  <c r="M12" i="9"/>
  <c r="M13" i="9"/>
  <c r="M14" i="9"/>
  <c r="M15" i="9"/>
  <c r="M17" i="9"/>
  <c r="M18" i="9"/>
  <c r="M19" i="9"/>
  <c r="K18" i="1"/>
  <c r="L18" i="1" s="1"/>
  <c r="G18" i="1"/>
  <c r="H18" i="1" s="1"/>
  <c r="K18" i="16"/>
  <c r="L18" i="16" s="1"/>
  <c r="G18" i="16"/>
  <c r="K18" i="15"/>
  <c r="K20" i="9" s="1"/>
  <c r="H18" i="16" l="1"/>
  <c r="G20" i="9"/>
  <c r="M20" i="9" s="1"/>
  <c r="M18" i="15"/>
  <c r="M18" i="16"/>
  <c r="I19" i="9"/>
  <c r="L19" i="9" s="1"/>
  <c r="L17" i="15"/>
  <c r="L18" i="15"/>
  <c r="I20" i="9"/>
  <c r="L20" i="9" s="1"/>
  <c r="E18" i="15"/>
  <c r="E20" i="9" s="1"/>
  <c r="E19" i="9"/>
  <c r="H19" i="9" s="1"/>
  <c r="D20" i="9"/>
  <c r="M18" i="1"/>
  <c r="H18" i="15" l="1"/>
  <c r="H20" i="9"/>
  <c r="B15" i="14"/>
</calcChain>
</file>

<file path=xl/sharedStrings.xml><?xml version="1.0" encoding="utf-8"?>
<sst xmlns="http://schemas.openxmlformats.org/spreadsheetml/2006/main" count="693" uniqueCount="329">
  <si>
    <t>Personalikulud:</t>
  </si>
  <si>
    <t>1.</t>
  </si>
  <si>
    <t>Põhitöötajate töötasud koos kõigige riiklike maksudega, maksetega ja seadusest tulenevate hüvitistega</t>
  </si>
  <si>
    <t>2.</t>
  </si>
  <si>
    <t>Muud kulud:</t>
  </si>
  <si>
    <t>Lähetused: majutuskulud, sõidukulud, päevarahad</t>
  </si>
  <si>
    <t>Aparatuur ja/või seadmete kulu</t>
  </si>
  <si>
    <t>Alltöövõtt</t>
  </si>
  <si>
    <t>3.</t>
  </si>
  <si>
    <t>Kaudsed kulud:</t>
  </si>
  <si>
    <t>1.1.</t>
  </si>
  <si>
    <t>1.2.</t>
  </si>
  <si>
    <t>2.1.</t>
  </si>
  <si>
    <t>2.2.</t>
  </si>
  <si>
    <t>2.3.</t>
  </si>
  <si>
    <t>2.4.</t>
  </si>
  <si>
    <t>2.5.</t>
  </si>
  <si>
    <t>4.</t>
  </si>
  <si>
    <t>Käibemaks</t>
  </si>
  <si>
    <t>5.</t>
  </si>
  <si>
    <t>Kulud kokku:</t>
  </si>
  <si>
    <t>1 kvartal</t>
  </si>
  <si>
    <t>2 kvartal</t>
  </si>
  <si>
    <t>3 kvartal</t>
  </si>
  <si>
    <t>4 kvartal</t>
  </si>
  <si>
    <t>Kululiik</t>
  </si>
  <si>
    <t>Ürituste korraldamine ja teavituskulud</t>
  </si>
  <si>
    <t>Erinevused planeeritust, probleemid</t>
  </si>
  <si>
    <t>Uuringuettepaneku pealkiri</t>
  </si>
  <si>
    <t>Akronüüm</t>
  </si>
  <si>
    <t>Konsortsiumi juht</t>
  </si>
  <si>
    <t>Juhtiv asutus</t>
  </si>
  <si>
    <t>Uuringus osalevad töörühmad</t>
  </si>
  <si>
    <t>Aruande esitamise tähtaeg</t>
  </si>
  <si>
    <t>Juhul kui aruanne ei ole esitatud tähtaegselt, siis põhjendused aruande esitamise hilinemise kohta (täita vajadusel)</t>
  </si>
  <si>
    <t>Eelarve kasutamine kokku (kasutatud eelarve projekti algusest kokku)</t>
  </si>
  <si>
    <r>
      <t>1.</t>
    </r>
    <r>
      <rPr>
        <b/>
        <sz val="7"/>
        <color theme="1"/>
        <rFont val="Times New Roman"/>
        <family val="1"/>
        <charset val="186"/>
      </rPr>
      <t xml:space="preserve">     </t>
    </r>
    <r>
      <rPr>
        <b/>
        <sz val="9"/>
        <color theme="1"/>
        <rFont val="Calibri Light"/>
        <family val="2"/>
        <charset val="186"/>
      </rPr>
      <t>Üldandmed</t>
    </r>
  </si>
  <si>
    <r>
      <t>Aruande perioodi alguskuupäev</t>
    </r>
    <r>
      <rPr>
        <sz val="11"/>
        <color theme="1"/>
        <rFont val="Calibri Light"/>
        <family val="2"/>
        <charset val="186"/>
      </rPr>
      <t xml:space="preserve"> </t>
    </r>
  </si>
  <si>
    <r>
      <t>Aruande perioodi lõpukuupäev</t>
    </r>
    <r>
      <rPr>
        <sz val="11"/>
        <color theme="1"/>
        <rFont val="Calibri Light"/>
        <family val="2"/>
        <charset val="186"/>
      </rPr>
      <t xml:space="preserve"> </t>
    </r>
  </si>
  <si>
    <t>Aruandeperioodi jooksul publitseeritud materjalid, millega kaasneb IO; märkida ka taotlused (nt patenditaotlused)</t>
  </si>
  <si>
    <t>Aruandeperioodi jooksul tekkinud tööstusomand, sh patendid, andmekogud jm</t>
  </si>
  <si>
    <t xml:space="preserve">Üldkulu </t>
  </si>
  <si>
    <t>3.1.</t>
  </si>
  <si>
    <t>Aruandeperioodil tehtud tööd, nende seos projekti eesmärkidega. Kui erinevus tööplaaniga, siis  selgitus erinevuse tekkimise kohta. Probleemid.</t>
  </si>
  <si>
    <t>Muude töötajate töötasud koos kõigi riiklike maksudega, maksetega ja seadusest tulenevate hüvitistega</t>
  </si>
  <si>
    <t>Kokku</t>
  </si>
  <si>
    <t>Aruandeperioodi kulud</t>
  </si>
  <si>
    <t>Tulemused tegevuse lõppeesmärgi suhtes (nt 50% planeeritud töödest tehtud)</t>
  </si>
  <si>
    <t>TEGELIK II kv</t>
  </si>
  <si>
    <t>ESIALGNE      I kv</t>
  </si>
  <si>
    <t>ESIALGNE      II kv</t>
  </si>
  <si>
    <t>ESIALGNE      III  kv</t>
  </si>
  <si>
    <t>ESIALGNE      IV kv</t>
  </si>
  <si>
    <t>TEGELIK I kv</t>
  </si>
  <si>
    <t>Tegevuse sisu kirjeldus (mida on aruandeperioodi jooksul tehtud)</t>
  </si>
  <si>
    <t>Tulemused aruandeperioodil (nt 50% planeeritud töödest tehtud)</t>
  </si>
  <si>
    <t>TEGELIK III kv</t>
  </si>
  <si>
    <t>TEGELIK IV kv</t>
  </si>
  <si>
    <t>I aasta</t>
  </si>
  <si>
    <t>II aasta</t>
  </si>
  <si>
    <t>1 aasta</t>
  </si>
  <si>
    <t>2 aasta</t>
  </si>
  <si>
    <t>Kogu projekti eelarve</t>
  </si>
  <si>
    <t>Tartu Ülikool</t>
  </si>
  <si>
    <t>2020/2021</t>
  </si>
  <si>
    <t>1.1</t>
  </si>
  <si>
    <t>1.2</t>
  </si>
  <si>
    <t>2.1</t>
  </si>
  <si>
    <t>2.2</t>
  </si>
  <si>
    <t>2.3</t>
  </si>
  <si>
    <t>3.1</t>
  </si>
  <si>
    <t>3.2</t>
  </si>
  <si>
    <t>3.3</t>
  </si>
  <si>
    <t>4.1</t>
  </si>
  <si>
    <t>4.2</t>
  </si>
  <si>
    <t>Projekti</t>
  </si>
  <si>
    <t>Kestvus kvartalites</t>
  </si>
  <si>
    <t>Tegevuse algus (kalendriaasta)</t>
  </si>
  <si>
    <t>Tegevuse lõpp (kalendriaasta)</t>
  </si>
  <si>
    <t>Vastutav partner</t>
  </si>
  <si>
    <t>I etapp</t>
  </si>
  <si>
    <t>II etapp</t>
  </si>
  <si>
    <t>Põhitäitjad I kv                   (Eesnimi Perenimi, kraad, asutus)</t>
  </si>
  <si>
    <t>Põhitäitjad II kv                   (Eesnimi Perenimi, kraad, asutus)</t>
  </si>
  <si>
    <t>Põhitäitjad III kv                   (Eesnimi Perenimi, kraad, asutus)</t>
  </si>
  <si>
    <t>Põhitäitjad IV kv                   (Eesnimi Perenimi, kraad, asutus)</t>
  </si>
  <si>
    <t>Tegevuse sisu kirjeldus (mida on plaanis järgmise aruandeperioodi jooksul teha)</t>
  </si>
  <si>
    <t>Üritused, kohtumised ning tulemuste levitamine, mis pole loetletud punktis 4.1 publitseeritud materjalide all (nt raadiosaated, intervjuud ajalehes jms); nt Raadiosaade „TA viimased arengud“, Kuku raadios, kuupäev ja aasta, kui võimalik siis link järelkuulatavale saatele; kohtumine huvigruppidega vahetulemuste aruteluks, kuupäev ja aasta; populaarteadusliku voldiku publitseerimine jne. Võib märkida ka valminud ja avaldamiseks saadetud käsikirjad.</t>
  </si>
  <si>
    <t>jääk</t>
  </si>
  <si>
    <t>RITA1/02-132</t>
  </si>
  <si>
    <t>RITA C-19 Majandus</t>
  </si>
  <si>
    <t>Raul Eamets</t>
  </si>
  <si>
    <t>RITA1/02-132-01 Tartu Ülikool, Sotsiaalteaduste valdkond, majandusteaduskond
RITA1/02-132-02 SA Poliitikauuringute Keskus Praxis
RITA1/02-132-03 Eesti Rakendusuuringute Keskus CentAR OÜ</t>
  </si>
  <si>
    <t>COVID-19 seotud majandusmõjude ning nende pehmendamiseks mõeldud poliitikameetmete tõhususe hindamine</t>
  </si>
  <si>
    <t>SA Poliitikauuringute Keskus Praxis</t>
  </si>
  <si>
    <t>Eesti Rakendusuuringute Keskus CentAR OÜ</t>
  </si>
  <si>
    <t>Varasemalt kogu projekti jooksul:</t>
  </si>
  <si>
    <r>
      <rPr>
        <sz val="7"/>
        <color theme="1"/>
        <rFont val="Times New Roman"/>
        <family val="1"/>
        <charset val="186"/>
      </rPr>
      <t xml:space="preserve">  </t>
    </r>
    <r>
      <rPr>
        <b/>
        <sz val="9"/>
        <color theme="1"/>
        <rFont val="Calibri Light"/>
        <family val="2"/>
        <charset val="186"/>
      </rPr>
      <t>Uurimistulemuste levitamine ja rakendamine aruandeperioodi jooksul:</t>
    </r>
  </si>
  <si>
    <t>Aruandeperioodi jooksul publitseeritud materjalid:</t>
  </si>
  <si>
    <t>TP 1 - Rahvusvahelise kogemuse analüüs ja süntees</t>
  </si>
  <si>
    <t>Teiste riikide COVID-19 poliitikameetmete kaardistus ja tõhususe analüüs</t>
  </si>
  <si>
    <t xml:space="preserve">Soovitused tööhõive ja majanduskasvu taastamiseks </t>
  </si>
  <si>
    <t>TP 2 - Sotsiaalne ja demograafiline mõju</t>
  </si>
  <si>
    <t>Viiruskriisi mõju sotsiaaldemograafilistele rühmadele ja tööturule</t>
  </si>
  <si>
    <t>Kriisileevendusmeetmete sobitumine Eesti sotsiaalse kaitse süsteemi ja nende mõju sotsiaaldemograafilistele gruppidele</t>
  </si>
  <si>
    <t>Soovitused tööhõive ja majanduskasvu taastamiseks</t>
  </si>
  <si>
    <t>TP 3 - Majandusmõju</t>
  </si>
  <si>
    <t>Kriisi ja sellest taastumise areng</t>
  </si>
  <si>
    <t>Kriisi mõjukanalite ja kriisivastaste meetmete mõju simuleerimine ja analüüs</t>
  </si>
  <si>
    <t>Soovitused majanduskasvu taastamiseks</t>
  </si>
  <si>
    <t>TP 4 - Juhtimine</t>
  </si>
  <si>
    <t>Uuringu tegevuste koordineerimine, eelarve ja aruandlusega tegelemine, koosolekute ja muu suhtluse korraldamine, jmt</t>
  </si>
  <si>
    <t>Juhtkomisjoni koosolek</t>
  </si>
  <si>
    <t>x</t>
  </si>
  <si>
    <t>I kvartal (november 2020 – jaanuar 2021)</t>
  </si>
  <si>
    <t>II kvartal (veebruar 2021 – aprill 2021)</t>
  </si>
  <si>
    <t>III kvartal (mai 2021 – juuli 2021)</t>
  </si>
  <si>
    <t>IV kvartal (august 2021 – oktoober 2021)</t>
  </si>
  <si>
    <t>I kvartal (november 2021 – jaanuar 2022)</t>
  </si>
  <si>
    <t>II kvartal (veebruar 2022 – aprill 2022)</t>
  </si>
  <si>
    <t>2021/2022</t>
  </si>
  <si>
    <t>Aruandeperioodi jooksul tekkinud tööstusomand:</t>
  </si>
  <si>
    <t>27.11.2020 Ettekanne "Koroonaviiruse sotsiaalmajandluslikud mõjud Eestis ning rakendatud kriisimeetmete tõhusus", Raul Eamets, Koroonakonverents "Arukas kohanemine", Tartu Ülikool</t>
  </si>
  <si>
    <t>16.12.2020 Uuringu 1. analüütiline seminar "Seiresüsteemi väljatöötamise vajadus"</t>
  </si>
  <si>
    <t>19.01.2021 Uuringu 2. analüütiline seminar "C-19 leevendusmeetmed"</t>
  </si>
  <si>
    <t>Aruandeperioodi jooksul ei ole tekkinud tööstusomandit.</t>
  </si>
  <si>
    <t>Projekti esimese juhtkomisjoni kohtumise korraldamine ja läbiviimine. Kohtumine toimus 18. november 2020 Ms Teamsi veebikeskkonna vahendusel. Veebruarikuu juhtkomisjoni koosoleku ettevalmistamine.</t>
  </si>
  <si>
    <t>100%</t>
  </si>
  <si>
    <t>Tegevused on ajakavas.</t>
  </si>
  <si>
    <t>Juhtkomisjoni 2021. a veebruarikuu koosoleku läbiviimine. Juhtkomisjoni kolmanda koosoleku (mai 2021) ettevalmistamine.</t>
  </si>
  <si>
    <t>Projekti sisu- ja korralduslike tegevuste planeerimine ja läbiviimine, igapäevase infovahetuse koordineerimine ja meeskonna koosolekute korraldamine. Projekti avakohtumise korraldamine telija ja projektimeeskonnaga 18.11.2020 Ms Teams veebikeskkonna vahendusel. Töölepingute sõlmimine. Projekti kodulehe www.c19majandus.ut.ee loomine. Projekti töörühmajuhtide ja juhtkomisjoni listide loomine. Uuringu 1. ja 2. analüütiliste seminaride korraldamine. Projekti sisueesmärkide ja ajakava jälgimine. Projekti I kvartali aruande koostamine.</t>
  </si>
  <si>
    <t>Tööd ei ole planeeritud I kvartalisse.</t>
  </si>
  <si>
    <t>Sten Anspal, Ph.D Centar</t>
  </si>
  <si>
    <t>Aleksandr Michelson, Ph.D Praxis</t>
  </si>
  <si>
    <t>Lenno Uusküla, Ph.D TÜ</t>
  </si>
  <si>
    <t>Projekti sisu- ja korralduslike tegevuste planeerimine, igapäevase infovahetuse koordineermine ja koosolekute kokkukutsumine. Projekti sisueesmärkide ja ajakava jälgimine. Kodulehe ja listide haldamine. Projekti järgmiste analüütiliste seminaride korraldamine (veebr-aprill) vastavalt kokkuleppele tellijaga. Projekti II kvartali aruande koostamine.</t>
  </si>
  <si>
    <t>Eesti Töötukassa töötasu hüvitise analüüs EUROMODis ja policy brief koostamine. Kaardistavad intervjuud ministeeriumite esindajatega ja edasised intervjuukavad.</t>
  </si>
  <si>
    <t>Registriandmete päringu koostamine, eetikakomitee ja AKI lubade taotlemine ja saamine. Andmepäringu esitamine registritele. Uuringuplaani koostamine kriisi mõjust soolisele võrdõiguslikkusele, puuetega inimeste toimetulekule ning eakate käekäigule. Seiresüsteemi analüütilise seminari tegemine ja arutelu tellijaga.</t>
  </si>
  <si>
    <t>Intervjuude ja fookusrühmade tegemine sotsiaal-demograafilite rühmadega. Kaks briefi: märtsis puuetega inimeste toimetulek covidi ajal ning aprillis soolise võrdõiguslikkusest. Registriandmete analüüs tööjõu asendatavuse ja väiksemate sotsiaal-demograafiliste rühmade osas (andmete eeldatav laekumine märtsis).</t>
  </si>
  <si>
    <t>Intervjuud ametnikega (veebruar). Kahe valitud meetme analüüs EUROMODis (märts - aprill).</t>
  </si>
  <si>
    <t>Ettevõtjate ja poliitikakujundajate intervjuude planeerimine - intervjuude sisu ja struktuuri kokkuleppimine, võimalike intervjueeritavate kandidaatide leidmine.</t>
  </si>
  <si>
    <t>Alustame intervjuude läbiviimisega ning nende dokumenteerimise ja analüüsiga. Viime läbi pooled ettevõtjate intervjud ning kõik poliitikakujundajate intervjuud.</t>
  </si>
  <si>
    <t>Makromudeli struktuuriga põhjalikum tutvumine, mudeli erinevateks mooduliteks jagava skeemi loomine ning erinevate osapoolte vahel tegevusteks jagamine.</t>
  </si>
  <si>
    <t>Mudeli andmete kogumine, nende sisselugemise koodi kirjutamine, mudeli keskse ülekandemehhanismi esialgse versiooni kirjutamine, elastsuste hindamine, mudeli esialgsete väljundite programmeerimine.</t>
  </si>
  <si>
    <t xml:space="preserve">Kaardistatud teiste riikide poliitikameetmed (Eurofondi andmebaasi põhjal) ja valitud välja meetmekandidaadid edasiseks analüüsiks. Viidud läbi meeskonna sisearutelud ja analüütiline seminar tellijatega, mille tulemusena valiti välja 5 edasi analüüsitavat meedet. Valitud välja riigid, mille ekspertidega kontakteerutakse intervjuuks. Koostatud intervjuukava intervjuudeks välisekspertidega. Lepitud kokku meetmete edasise analüüsi ja mudelsimulatsiooni alased tegevused. </t>
  </si>
  <si>
    <t>Kontakteerumine välisekspertidega, intervjuude läbiviimine. Ettevalmistused meetmete mõjude modelleerimiseks.</t>
  </si>
  <si>
    <t>Intervjuude tegemine on ametnikega kokku lepitud II kvartali esimestele nädalatele.</t>
  </si>
  <si>
    <t>Eelarve kokku</t>
  </si>
  <si>
    <t>Sten Anspal, Ph.D Centar; 
Epp Kallaste, Ph.D Centar; 
Aleksandr Michelson, Ph.D Praxis; 
Kaupo Koppel, MA Praxis</t>
  </si>
  <si>
    <t>Aleksandr Michelson, Ph.D Praxis; 
Kaupo Koppel, MA Praxis; 
Merilen Laurimäe MA Praxis; Mari-Liis Sepper MA Praxis; Sten Anspal, Ph.D Centar</t>
  </si>
  <si>
    <t>Aleksandr Michelson, Ph.D Praxis; Kaupo Koppel, MA Praxis; Merilen Laurimäe MA Praxis; Kadri Arrak MA Praxis</t>
  </si>
  <si>
    <t xml:space="preserve">Lenno Uusküla, Ph.D TÜ; Kaupo Koppel, MA Praxis; Janno Järve, Ph.D Centar; Marko Sõmer, MA Centar </t>
  </si>
  <si>
    <t>Raul Eamets, Ph.D TÜ; Janno Järve, Ph.D Centar; Kaidi Nõmmela, MA TÜ</t>
  </si>
  <si>
    <t>Lenno Uusküla, Ph.D TÜ; Andres Võrk, MA TÜ; Taavi Unt, MA TÜ; Janno Järve, Ph.D Centar; Marko Sõmer, MA Centar; Aleksandr Michelson, Ph.D Praxis; Kaupo Koppel, MA Praxis</t>
  </si>
  <si>
    <t xml:space="preserve">Koppel, K., Laurimäe, M (2021). Töötukassa töötasu hüvitis - poliitikaanalüüs, Mõttekoda Praxis, 2021. Kättesaadav: http://www.praxis.ee/wp-content/uploads/2021/01/Tootukassa-tootasu-huvitis-poliitikaanaluus.pdf </t>
  </si>
  <si>
    <t>Varasemalt ei ole tekkinud tööstusomandit.</t>
  </si>
  <si>
    <t>Projekti koduleht: c19majandus.ut.ee</t>
  </si>
  <si>
    <t>22.02.2021 Ärileht: "Analüüs: Töötukassa palgahüvitis säilitas kümneid tuhandeid töökohti", kättesaadav: https://arileht.delfi.ee/artikkel/92614957/analuus-tootukassa-palgahuvitis-sailitas-kumneid-tuhandeid-tookohti?fbclid=IwAR2I7YzpE6HVWxfxD33XJotbJNuL4q42BQVaA3uubhMfSJI9Zf_nAVCFl4g</t>
  </si>
  <si>
    <t>16.02.2021 Uuringu juhtkomisjoni kohtumine, MS Teams veebikeskkonna vahendusel</t>
  </si>
  <si>
    <t>18.11.2020 Uuringu juhtkomisjoni avakohtumine tellija ja uuringumeeskonnaga, MS Teams veebikeskkonna vahendusel</t>
  </si>
  <si>
    <t>Projekti I kv juhtkomisjoni kohtumise korraldamine ja läbiviimine. Kohtumine toimus 16.02.2021 Ms Teams veebikeskkonna vahendusel. Juhtkomisjoni kohtumisel tutvustati tellijale mh ka kahte sisulist teemat: 1. Töötukassa palgatoetuse meetme analüüsi tulemusi ja 2. majandusmõju makromudeli algoritmi. Maikuu juhtkomisjoni kohtumise ettevalmistamine.</t>
  </si>
  <si>
    <t>Juhtkomisjoni II kv kohtumise läbiviimine 2021. aasta maikuus. Juhtkomisjoni III kv kohtumise ettevalmistamine (toimub augustis 2021).</t>
  </si>
  <si>
    <t>18.03.2021 Uuringu 3. analüütiline seminar "Makromudeli arendamine"</t>
  </si>
  <si>
    <t>20.04.2021 Uuringu 4. analüütiline seminar teemadel "Puue ja pandeemia – COVID-19 kriisi mõju puuetega inimestele ja puuetega laste vanematele" ja "Eesti riikliku taastekava projekti pikaajaliste sotsiaalmajanduslike mõjude välkanalüüs"</t>
  </si>
  <si>
    <t>Projekti sisu- ja korralduslike tegevuste planeerimine, igapäevase infovahetuse koordineermine ja koosolekute kokkukutsumine. Projekti sisueesmärkide ja ajakava jälgimine. Kodulehe ja listide haldamine. Projekti järgmiste analüütiliste seminaride korraldamine (perioodil mai-juuli) vastavalt kokkuleppele tellijaga. Projekti III kvartali aruande koostamine.</t>
  </si>
  <si>
    <t>22.04.2021 Praxis: "Praxise analüüs: covid-19 pandeemia ajal edastatud info ei ole puuetega inimestele piisavalt ligipääsetav", kättesaadav: http://www.praxis.ee/2021/04/praxise-analuus-covid-19-pandeemia-ajal-edastatud-info-ei-ole-puuetega-inimestele-piisavalt-ligipaasetav/</t>
  </si>
  <si>
    <t>Sepper, M-L., Haugas, S., Siimsen, I., Koppel, K. (2021). Puue ja pandeemia – COVID-19 kriisi mõju puuetega inimestele ja puuetega laste vanematele, Mõttekoda Praxis, 2021</t>
  </si>
  <si>
    <t>Intervjuude läbiviimisene ning nende dokumenteerimine ja analüüs. Läbi on viidud pooled ettevõtjate intervjud ning kõik poliitikakujundajate intervjuud.</t>
  </si>
  <si>
    <t>Ettevõtjatega ülejäänud intervjuude läbiviimine, dokumenteerimine ja analüüs.</t>
  </si>
  <si>
    <t>35%</t>
  </si>
  <si>
    <t>40%</t>
  </si>
  <si>
    <t>90%</t>
  </si>
  <si>
    <t>Poliitikaanalüüs pandeemia mõjust võrdõiguslikkusele valmib põhiautori haiguse tõttu plaanitust hiljem mai alguses</t>
  </si>
  <si>
    <t>Kaupo Koppel, MA, Praxis;
Merilen Laurimäe, MA, Praxis</t>
  </si>
  <si>
    <t>Laurimäe, M.; Koppel, K. 2021. COVID-19 sotsiaal-majanduslik mõju: Meetmed töötute toetamiseks ja vaesuse ennetamiseks. Tallinn: Poliitikauuringute Keskus Praxis.</t>
  </si>
  <si>
    <t>20.02.2021 Ärileht: "Analüüs: töötukassa palgahüvitis säilitas kümneid tuhandeid töökohti", kättesaadav https://arileht.delfi.ee/artikkel/92614957/analuus-tootukassa-palgahuvitis-sailitas-kumneid-tuhandeid-tookohti</t>
  </si>
  <si>
    <t>20.02.2021 Delfi: Благодаря компенсациям заработной платы от Кассы по безработице удалось сохранить десятки тысяч рабочих мес; kättesaadav: https://rus.delfi.ee/statja/92622003/blagodarya-kompensaciyam-zarabotnoy-platy-ot-kassy-po-bezrabotice-udalos-sohranit-desyatki-tysyach-rabochih-mest</t>
  </si>
  <si>
    <t>27.02.2021 Postimees: "Nii see algas: aastaga esimesest nakatunust 1500ni päevas", kättesaadav: https://leht.postimees.ee/7189712/nii-see-algas-aastaga-esimesest-nakatunust-1500ni-paevas</t>
  </si>
  <si>
    <t>24.03. 2021 Postimees. Keit-Pentus Rosimannus: "Riigi tugi pole tasuta lõuna" kättesaadav - https://leht.postimees.ee/7208441/keit-pentus-rosimannus-riigi-tugi-pole-tasuta-louna
(viitega Praxise töötasu hüvitise analüüsile)</t>
  </si>
  <si>
    <t>26.03. 2021. Postimees. Кейт Пентус-Розиманнус: поддержка государства — это не бесплатный обед. Kättesaadav - https://rus.postimees.ee/7210662/keyt-pentus-rozimannus-podderzhka-gosudarstva-eto-ne-besplatnyy-obed</t>
  </si>
  <si>
    <t>01.04.2021 Vikerraadio. Uudis+ 2. saatetund. Janno Järve ja Raul Eamets projektis ja Praxise töötasu hüvitise analüüsist</t>
  </si>
  <si>
    <t>08.04.2021 Vabariigi Valitsus: "Ühiskonnaelu korraldamise kava koroonaviiruse leviku tingimustes." Poliitikakujundamise valge raamat.
Viide Praxise töötasu hüvitise analüüsile</t>
  </si>
  <si>
    <t>22.04.2021 TV3 uudised: "Praxise analüüs: viirusinfo ei jõua piisavalt puuetega inimesteni", kättesaadav https://uudised.tv3.ee/eesti/uudis/2021/04/22/praxise-analuus-viirusinfo-ei-joua-piisavalt-puuetega-inimesteni</t>
  </si>
  <si>
    <t>22.04.2021 Raadio Kuku: Intervjuu: Mari-Liis Sepper – Praxise puuetega inimeste koroonainfo analüüs, kättesaadav: https://podcast.kuku.postimees.ee/podcast/intervjuu-mari-liis-sepper-praxise-puuetega-inimeste-koroonainfo-analuus/</t>
  </si>
  <si>
    <t>22.04.2021 Pealinn: "Praxise analüüs: viirusinfo ei jõua piisavalt puuetega inimesteni", kättesaadav https://pealinn.ee/2021/04/22/praxise-analuus-viirusinfo-ei-joua-piisavalt-puuetega-inimesteni/</t>
  </si>
  <si>
    <t>Kaupo Koppel, MA, Praxis
Merilen Laurimäe, MA, Praxis
Mari-Liis Sepper, MA, Praxis</t>
  </si>
  <si>
    <t>Iga analüüsi kohta valmisid konkreetsed poliitikasoovitused, mis esitati võimalusel koos mõjuhinnangute ning tegevusjuhistega. Kõik poliitikaanalüüsid on esitatud lühiformaadis pikkusega ligikaudu kuni kümme lehte, eristades põhisõnumeid ja soovitusi. Kõik valminud poliitikaanalüüsi on jagatud ka avalikkusega ning need on kättesaadavad nii Praxise kui projekti kodulehel. Mitmeid analüüse on otse jagatud seotud huvitasutustega (Eesti Töötukassa, Riigikantselei, Sotsiaalministeeriumi osakonnad, EPIKODA). Eelmisel kvartalil valminud töötukassa töötasu hüvitise analüüs on saanud kajastust ka teises kvartalis ning muuhulgas on Sotsiaalministeerium seda tutvustanud ka IMFile.</t>
  </si>
  <si>
    <t>Kontakteerutud ja viidud läbi intervjuud välisekspertidega, kogutud täiendavat taustainfot ja -andmeid välisriikides rakendatud meetmete kohta. Koostatud kokkuvõtted iga vaatlusaluse meetme kohta (lisatud tegevusaruandele).</t>
  </si>
  <si>
    <t>85%</t>
  </si>
  <si>
    <t>Välisriikide meetmete analüüsi tutvustus tellijatele, võimalike täiendus- ja parandusettepanekute arvessevõtmine, silla loomine meetmete kirjelduste ja makromudeli sisendite vahel (Eesti kontekstis analüüsitavate meetmete parameetrite formuleerimine sisendina edasiseks modelleerimiseks).</t>
  </si>
  <si>
    <t>Viidud läbi meeskonna arutelu, mille tulemusena lepiti kokku eelarvedefitsiidi teema käsitluse struktuur, edasine tegevuskava (analüütiliste seminaride sari järgmistes kvartalites, mille tulemusena valmib teemapaber) ja tööjaotus.</t>
  </si>
  <si>
    <t>10%</t>
  </si>
  <si>
    <t>Kaupo Koppel, MA, Praxis;
Mari-Liis Sepper, MA, Praxis; Sten Anspal, Ph.D Centar</t>
  </si>
  <si>
    <t>Lenno Uusküla, Ph.D TÜ; Janno Järve, Ph.D Centar; Aleksandr Michelson, PhD, Praxis;
Kaupo Koppel, MA, Praxis</t>
  </si>
  <si>
    <t>Lenno Uusküla, Ph.D TÜ; Andres Võrk, MA TÜ; Taavi Unt, MA TÜ; Janno Järve, Ph.D Centar; Marko Sõmer, MA Centar; Kaupo Koppel, MA Praxis;
Kadri Arrak, MA, Praxis</t>
  </si>
  <si>
    <t>Janno Järve, Ph.D Centar; Aleksandr Michelson, PhD, Praxis; Lenno Uusküla, Ph.D TÜ</t>
  </si>
  <si>
    <t xml:space="preserve">Sten Anspal, Ph.D Centar; 
Epp Kallaste, Ph.D Centar;  Aleksandr Michelson, PhD; Praxis
Kaupo Koppel, MA, Praxis; Lenno Uusküla, Ph.D TÜ </t>
  </si>
  <si>
    <t>Sissejuhatav analüütiline seminar: kuidas suhtuda C-19 kriisi kontekstis eelarvedefitsiiti.</t>
  </si>
  <si>
    <t>Alustatakse eakate ja noorte kriisiaegse toimetuleku analüüsiga. Politiikaanalüüs valmib projekti IV kvartalis.</t>
  </si>
  <si>
    <t>Tehti viis fookusrühma intervjuud puuetega inimeste ja lapsevanematega. Viidi läbi veebipõhine etteantud küsimustikuga jututuba puuetega inimestega. Tehti viis ekspertintervjuud. Registriandmeid analüüsiti sisendina kõigil aruandeperioodil valminud poliitikaanalüsidesse. Valmis poliitikaanalüüs puuetega inimeste käekäigust pandeemia ajal.</t>
  </si>
  <si>
    <t>Kõik intervjud ametnikega on tehtud. EUROMODis analüüsiti kaheksat meedet töötute toetamiseks, mille põhjal valmis poliitikaanalüüs.</t>
  </si>
  <si>
    <t>Poliitikaanalüüs ebatüüpiliste (sh VÕS, käsunduslepingud) lepingutega inimeste käekäigust pandeemia ajal ning võimalikest uutest meetmetest nende toetamiseks.</t>
  </si>
  <si>
    <t>Jätkatakse lühiformaadis poliitikaanalüüsidega. Konkreetselt valmib kvartali jooksul analüüs võlaõiguslike lepingutega inimeste käekäigust ning võimalikest toetusmeetmetest uute lainete ajal.</t>
  </si>
  <si>
    <t>Lenno Uusküla, Ph.D TÜ; Andres Võrk, MA TÜ; Taavi Unt, MA TÜ</t>
  </si>
  <si>
    <t>Kirjanduse ülevaate koostamine fiskaalpoliitilistest meetmetest (tervishoid, e-valitsus ja keskkond) ja nende mõjust kasvule.</t>
  </si>
  <si>
    <t xml:space="preserve">Ettevõtjate intervjuudest kokkuvõtte tegemine ning olulisemate soovituste väljatoomine. </t>
  </si>
  <si>
    <t>CentAR (2021). Pakkumise ja kasutamise tabelid, multiplikaatorid. [https://centar.ee/failid/PKT,-multiplikaatorid.html]</t>
  </si>
  <si>
    <t>CentAR (2021). Lõpptarbimise kasvu liikumine läbi majanduse. [https://centar.shinyapps.io/io-raw-bwlinks-estonia/]</t>
  </si>
  <si>
    <t>CentAR (2021). Kuhu läheb toodang? [https://centar.shinyapps.io/io-raw-fwlinks-estonia/]</t>
  </si>
  <si>
    <t xml:space="preserve">Mudelist on valminud järgmised komponendid: a) andmete sisse lugemise moodulid (kodumaise ja välismaise lõpptarbimise kasv), b) moodul, mis leiab lõpptarbimise kasvu mõju kogutoodangule c) moodul, mis leiab töötajate arvu muutuse mõju kogutoodangule, d) moodul, mis  leiab kogutoodangu muutuse mõju lisandväärtusele, tööjõukulule ja kasumile. 
Ette on valmistatud ka moodul, mis leiab punktis d) viidatud näitajate mõju maksutulude, kuid kuna Statistikaametist pole laekunud veel vajalikud maksuandmed, siis on see sisustatud näidisandmestikuga, mis sisulisi tulemusi ei anna. 
Makromudeli Eesti ja välismaise bloki tulemuste esialgne analüüs (multiplikaatorite visualiseerimine, lõpptarbimise kasvu jagunemise visualiseerimine majandustegevusalade vahel, impordilekete näitlikustamine).
Nõudluse hinnaelastustest valmisid agregeeritud hinnangud. Detailsem analüüs ootab Statistikaameti taga (vaja on installeerida mõned Ri paketid, mis pole millegi pärast siiani õnnestunud).
</t>
  </si>
  <si>
    <t>Michelson, A., Uusküla, L., &amp; Anspal, S. (2021). Ülevaade valitud COVID-19 kriisi leevendusmeetmetest välisriikides. Viis välisriikides rakendatud meedet. Poliitikauuringute Keskus Praxis, Tartu Ülikool, Eesti Rakendusuuringute Keskus CentAR</t>
  </si>
  <si>
    <t>Hinnaelastsuste detailsem analüüs ootab hetkel Statistikaameti taga.</t>
  </si>
  <si>
    <t>Maksumooduli sisustamine "pärisandmetega", Mudeli moodulite omavaheline sidumine, tasakaalumehhanismi sisustamine, käibemaksu muutuse mõju mooduli koostamine ning mudeli katsetamine meetmete peal.
Hinnaelastsuste analüüsi lõpetamine ja tegevuse ajakavva tagasitoomine.</t>
  </si>
  <si>
    <t>Projekti sisu- ja korralduslike tegevuste planeerimine, igapäevase infovahetuse koordineermine ja koosolekute kokkukutsumine. Projekti sisueesmärkide ja ajakava jälgimine. Kodulehe ja listide haldamine. Projekti 5. analüütilise seminari korraldamine ja läbiviimine. Seminar toimus 15. juuni teemadeks oli 1. C-19 pandeemia sotsiaal-majanduslik mõju soolisele võrdõiguslikkusele; 2. välisturgude seosed Eesti ekspordi lõpptarbimisega. Seminari osales 37 inimest, sh 27 tellijate esindajad koos kolleegidega. 
Projekti III kvartali aruande koostamine.</t>
  </si>
  <si>
    <t>50%</t>
  </si>
  <si>
    <t>Projekti sisu- ja korralduslike tegevuste planeerimine, igapäevase infovahetuse koordineermine ja koosolekute kokkukutsumine. Projekti sisueesmärkide ja ajakava jälgimine. Kodulehe ja listide haldamine. Projekti järgmiste analüütiliste seminaride korraldamine (perioodil august-oktoober) vastavalt kokkuleppele tellijaga. Projekti IV kvartali aruande koostamine.</t>
  </si>
  <si>
    <t>Juhtkomisjoni III kv kohtumise läbiviimine 2021. aasta augustikuus. Juhtkomisjoni IV kv kohtumise ettevalmistamine (toimub november 2021).</t>
  </si>
  <si>
    <t>18.05.2021 Uuringu juhtkomisjoni kohtumine, MS Teams veebikeskkonna vahendusel</t>
  </si>
  <si>
    <t xml:space="preserve">15.06.2021 Uuringu 5. analüütiline seminar teemadel "C-19 pandeemia sotsiaal-majanduslik mõju soolisele võrdõiguslikkusele" ja"Välisturgude seosed Eesti ekspordi lõpptarbimisega". </t>
  </si>
  <si>
    <r>
      <t xml:space="preserve">Eelarve taotluses </t>
    </r>
    <r>
      <rPr>
        <sz val="9"/>
        <color theme="1"/>
        <rFont val="Calibri"/>
        <family val="2"/>
        <scheme val="minor"/>
      </rPr>
      <t>koos muudatustega projekti käigus</t>
    </r>
  </si>
  <si>
    <t>18.03.2021 Ärileht: "Lisaeelarve seletuskiri majandusolukorrast Eestis: koroonakriisi tagajärjed on olnud kardetust väiksemad" - https://arileht.delfi.ee/artikkel/92877877/lisaeelarve-seletuskiri-majandusolukorrast-eestis-koroonakriisi-tagajarjed-on-olnud-kardetust-vaiksemad (Viitega Praxise töötasu hüvitise analüüsile)</t>
  </si>
  <si>
    <t>Kaupo Koppel, MA, Praxis;
Mari-Liis Sepper, MA, Praxis;</t>
  </si>
  <si>
    <t>Kaupo Koppel, MA, Praxis
Merilen Laurimäe, MA, Praxis
Aleksandr Michelson, PhD, Praxis</t>
  </si>
  <si>
    <t>60%</t>
  </si>
  <si>
    <t>Valmib eakate ja noorte kriisiaegse toimetuleku analüüs.</t>
  </si>
  <si>
    <t>Valmis poliitikaanalüüs ebatüüpiliste lepingutega inimeste käekäigust pandeemia esimese laine ajal.</t>
  </si>
  <si>
    <t>EUROMODis alustatakse kaudsete maksude muutmise jaotuslike mõjude leidmist, mis seostub ka III tööpaketi meetmega.</t>
  </si>
  <si>
    <t>Koostati lühiformaadis ja soovitustega poliitikaanalüüs VÕS lepinguga hõivatute toimetulekust. Esitleti eelmisel kvartalil valminud töötute toimetuleku analüüsi, mis sai kajastust kõikidest suuremates meediakanalites nii televisioonis, raadios kui trükimeedias. Seonduvalt esines Kaupo Koppel kolmel korral Vikerraadios ja Kuku raadios, Aleksandr Michelson käis ETV+ otsestuudios.</t>
  </si>
  <si>
    <t>Jätkatakse lühiformaadis poliitikaanalüüside koostamisega.</t>
  </si>
  <si>
    <t>Praxis (2021). Puue ja pandeemia - Lihtsas keeles ülevaade
http://www.praxis.ee/wp-content/uploads/2021/01/Puue-ja-pandeemia-Lihtsas-keeles.pdf</t>
  </si>
  <si>
    <t>04.05.2021 Eesti Päevaleht/Ärileht: Tuhandetel töötutel lõppeb hüvitise aeg ja on oht langeda vaesusse. Kättesaadav - https://arileht.delfi.ee/artikkel/93323811/tuhandetel-tootutel-loppeb-huvitise-aeg-ja-on-oht-langeda-vaesusse</t>
  </si>
  <si>
    <t>04.05.2021 Terevisioon. Kättesaadav: https://jupiter.err.ee/1608187894/terevisioon</t>
  </si>
  <si>
    <t>4.05.2021 Vikerraadio. Keskpäevased uudised 10.00-13.00</t>
  </si>
  <si>
    <t>04.05.2021 Rup.ee: Tuhandete pandeemias koondatute töötushüvitised on lõppemas,  kättesaadav https://www.rup.ee/uudised/tooturg/tuhandete-pandeemias-koondatute-tootushuvitised-on-l-ppemas</t>
  </si>
  <si>
    <t>04.05.2021 Postimees: Lähiajal lisandub iga kuu tuhandeid sissetulekust ilma jäänud inimesi. Kättesaadav: https://majandus.postimees.ee/7239761/lahiajal-lisandub-iga-kuu-tuhandeid-sissetulekust-ilma-jaanud-inimesi</t>
  </si>
  <si>
    <t>04.05.2021 Postimees Rus: В ближайшее время каждый месяц будет расти число людей, не имеющих никакого дохода. Kättesaadav https://rus.postimees.ee/7239803/v-blizhayshee-vremya-kazhdyy-mesyac-budet-rasti-chislo-lyudey-ne-imeyushchih-nikakogo-dohoda</t>
  </si>
  <si>
    <t>04.05.2021 Rus ERR: Praxis: в ближайшее время в Эстонии будут появляться тысячи людей без постоянного дохода. Kättesaadav https://rus.err.ee/1608201094/praxis-v-blizhajshee-vremja-v-jestonii-budut-pojavljatsja-tysjachi-ljudej-bez-postojannogo-dohoda</t>
  </si>
  <si>
    <t>04.05.2021 Postimehe Uudised. Mõttekoja Praxis analüüsist selgus, et tuhandetel pandeemia tõttu töö kaotanud inimestel on töötushüvitised lõppenud või lõppemas.</t>
  </si>
  <si>
    <t>04.05.2021 Raadio Kuku. Keskpäevased uudised 15.00</t>
  </si>
  <si>
    <t>04.05.2021 ERR News: Study: Benefits to end soon for thousands of people laid off by covid. Kättesaadav https://news.err.ee/1608200830/study-benefits-to-end-soon-for-thousands-of-people-laid-off-by-covid</t>
  </si>
  <si>
    <t>04.05.2021 Raadio Kuku. Päevapilk.</t>
  </si>
  <si>
    <t>04.04.2021 Rus Delfi: У тысяч безработных истекает срок выплаты страхового возмещения. Они могут оказаться за гранью бедности. Kättesaadav https://rus.delfi.ee/statja/93330309/u-tysyach-bezrabotnyh-istekaet-srok-vyplaty-strahovogo-vozmeshcheniya-oni-mogut-okazatsya-za-granyu-bednosti</t>
  </si>
  <si>
    <t>05.05.2021 Virumaa Teataja: Pandeemias koondatute töötushüvitised on lõppemas</t>
  </si>
  <si>
    <t>05.05.2021 ERR Terevisioon: intervjuu SoMi asekantsleri Sten Andreas Erichiga analüüsi teemal</t>
  </si>
  <si>
    <t>05.05.2021 Kuku Raadio: Majandusruum. Saadet juhtisid Toomas Randlo ja Carl-Robert Puhm. Kättesaadav: https://podcast.kuku.postimees.ee/podcast/majandusruum-2021-05-05/</t>
  </si>
  <si>
    <t>06.05.2021 Maaleht: “Pärast poolt aastat töötu olemist otsustasin, et tuleb endale ise töökoht tekitada”. Kättesaadav: https://maaleht.delfi.ee/artikkel/93336347/parast-poolt-aastat-tootu-olemist-otsustasin-et-tuleb-endale-ise-tookoht-tekitada</t>
  </si>
  <si>
    <t>06.05.2021 Vikerraadio: Vikerhommik, Priit Kuuse intervjuu Praxise analüütiku Kaupo Koppeliga. Kättesaadav: https://podcast.kuku.postimees.ee/podcast/intervjuu-kaupo-koppel-praxise-tootutoetuste-loppemise-analuus/</t>
  </si>
  <si>
    <t>06.05.2021 Elmar: Hommikuintervjuu.</t>
  </si>
  <si>
    <t>06.05.2021 Järva Teataja: Lähiajal lõppevad tuhandete pandeemia ajal koondatute töötushüvitised. Kättesaadav: https://jarvateataja.postimees.ee/7239731/lahiajal-loppevad-tuhandete-pandeemia-ajal-koondatute-tootushuvitised</t>
  </si>
  <si>
    <t>07.05.2021 Gorod Narvskii: Все больше бедных</t>
  </si>
  <si>
    <t>07.05.2021 Postimees TV: EESLIINIL ⟩ Elukunstnik Balti jaamas: milleks minna tööle, kui riik maksab mul kõik kinni?. Kättesaadav: https://tv.postimees.ee/7242625/elukunstnik-balti-jaamas-milleks-minna-toole-kui-riik-maksab-mul-koik-kinni</t>
  </si>
  <si>
    <t>07.05.2021 Pealinn: KOROONAKRIIS Ametiühingute Keskliit: töötutoetuse ja töö otsimise perioodi tuleks pikendada. Kättesaadav: https://pealinn.ee/2021/05/07/ametiuhingute-keskliit-tootutoetuse-ja-too-otsimise-perioodi-tuleks-pikendada/</t>
  </si>
  <si>
    <t>10.05.2021 Pealinn: Töötute otsetoetus tuleb kahjude korvamisest odavam. Kättesaadav: https://pealinn.ee/2021/05/10/tootute-otsetoetus-tuleb-kahjude-korvamisest-odavam/</t>
  </si>
  <si>
    <t>12.05.2021 Kuku Raadio: Majandusruum. Kättesaadav: https://podcast.kuku.postimees.ee/podcast/majandusruum-2021-05-12/</t>
  </si>
  <si>
    <t>12.05.2021 Eesti Päevaleht: Peeter Järvelaid: suurim probleem pole kasvav riigivõlg, vaid tööjõupuudus. Kättesaadav: https://epl.delfi.ee/artikkel/93411665/peeter-jarvelaid-suurim-probleem-pole-kasvav-riigivolg-vaid-toojoupuudus</t>
  </si>
  <si>
    <t>13.05.2021 Postimees: Töötukassa juht: on üks töö, mida keegi ei taha. Kättesaadav: https://majandus.postimees.ee/7246754/tootukassa-juht-on-uks-too-mida-keegi-ei-taha</t>
  </si>
  <si>
    <t>13.05.2021 Pealinn: VIDEO! Mida teha, kui oled kaotanud töö? Sotsiaalministeeriumi asekantsler Sten Andreas Ehrlich: ärge tundke valehäbi, otsige abi. Kättesaadav: https://pealinn.ee/2021/05/13/mida-teha-kui-oled-kaotanud-too-sotsiaalministeeriumi-asekantsler-sten-andreas-ehrlich-arge-tundke-valehabi-otsige-abi/</t>
  </si>
  <si>
    <t>15.05.2021 Kuku Raadio: Neeme Raud. Siin esimene saatetund. Kättesaadav: https://podcast.kuku.postimees.ee/podcast/neeme-raud-siin-2021-05-15/</t>
  </si>
  <si>
    <t>27.05.2021 Pealinn: TÖÖTUSHÜVITISE MAKSMINE Kiik: töötutoetuse maksmise kestus hakkab sõltuma olukorrast tööturul. Kättesaadav: https://pealinn.ee/2021/05/27/kiik-tootutoetuse-maksmise-kestus-hakkab-soltuma-olukorrast-tooturul/</t>
  </si>
  <si>
    <t>4.06.2021 Postimees Rus: Райво Варе: минимум 8000 человек могут оказаться за чертой бедности. Kättesaadav: https://rus.postimees.ee/7264610/rayvo-vare-minimum-8000-chelovek-mogut-okazatsya-za-chertoy-bednosti</t>
  </si>
  <si>
    <t>10.06.2021 Eesti Päevaleht: „Alustan pool viis hommikul ja lõpetan kell 23 õhtul.” Pandeemia vajutas naiste selga raskema koorma kui meestele. Kättesaadav: https://epl.delfi.ee/artikkel/93693829/alustan-pool-viis-hommikul-ja-lopetan-kell-23-ohtul-pandeemia-vajutas-naiste-selga-raskema-koorma-kui-meestele</t>
  </si>
  <si>
    <t>10.06.2021 Eesti Päevaleht: JUHTKIRI | Rohkem julgust nõrgemate kaitsel. Kättesaadav: https://epl.delfi.ee/artikkel/93694117/juhtkiri-rohkem-julgust-norgemate-kaitsel</t>
  </si>
  <si>
    <t>10.06.2021 Vikerraadio: Vikerhommiku täistunniuudised 6.00-7.00</t>
  </si>
  <si>
    <t>10.06.2021 Pealinn: ANALÜÜS: COVID-19 pandeemia võimendas Eestis soolist ebavõrdsust. Kättesaadav: https://pealinn.ee/2021/06/10/analuus-covid-19-pandeemia-voimendas-eestis-soolist-ebavordsust/</t>
  </si>
  <si>
    <t>10.06.2021 ERR: Terevisioon, lehetutvustus</t>
  </si>
  <si>
    <t>10.06.2021 Kuku Raadio: Ärataja</t>
  </si>
  <si>
    <t>10.06.2021 Õhtuleht: Uuring: Covid-19 pandeemia võimendas Eestis soolist ebavõrdsust. Kättesaadav: https://tervis.ohtuleht.ee/1036123/uuring-covid-19-pandeemia-voimendas-eestis-soolist-ebavordsust</t>
  </si>
  <si>
    <t>10.06.2021 Postimees: Analüüs: Covid-19 pandeemia võimendas Eestis soolist ebavõrdsust. Kättesaadav: https://www.postimees.ee/7268803/analuus-covid-19-pandeemia-voimendas-eestis-soolist-ebavordsust</t>
  </si>
  <si>
    <t>10.06.2021 Postimees Rus: Исследование: пандемия COVID-19 усугубила гендерное неравенство в Эстонии. Kättesaadav: https://rus.postimees.ee/7268878/issledovanie-pandemiya-covid-19-usugubila-gendernoe-neravenstvo-v-estonii</t>
  </si>
  <si>
    <t>10.06.2021 Stolitsa: Исследование: пандемия усилила гендерное неравенство в Эстонии. Kättesaadav: https://stolitsa.ee/estoniya/issledovanie-pandemiya-usilila-gendernoe-neravenstvo-v-estonii</t>
  </si>
  <si>
    <t>11.06.2021 Pealinn: “VÕRDSEM EESTI“ MINILOENG VIDEO! Säilenõtkus on positiivse vaimse tervise alustala. Kättesaadav: https://pealinn.ee/2021/06/11/video-sailenotkus-on-positiivse-vaimse-tervise-alustala/</t>
  </si>
  <si>
    <t>13.06.2021 Kuku Raadio: Poliitikaguru. Kättesaadav: https://podcast.kuku.postimees.ee/podcast/poliitikaguru-2021-06-13/</t>
  </si>
  <si>
    <t>33%</t>
  </si>
  <si>
    <t>Sten Anspal, Ph.D Centar; 
Epp Kallaste, Ph.D Centar; 
Aleksandr Michelson, Ph.D Praxis</t>
  </si>
  <si>
    <t xml:space="preserve"> Janno Järve, Ph.D Centar; Lenno Uusküla, Ph.D TÜ; Aleksandr Michelson, Ph.D Praxis</t>
  </si>
  <si>
    <t>Analüütiline seminar eelarvedefitsiidi teemal, arutelupaberi koostamine.</t>
  </si>
  <si>
    <t>Lenno Uusküla, Ph.D TÜ; Janno Järve, Ph.D Centar; Kadri Arrak, MA, Praxis;
Kaupo Koppel, MA, Praxis</t>
  </si>
  <si>
    <t>Viidi lõpuni poliitikaanalüüsi dokumendi koostamine pandeemia mõjust võrdõiguslikkusele, mida tutvustati tellijale 15. juunil toimunud analüütilisel seminaril. Alustati eakate ja noorte toimetuleku analüüsiga. Läbi on viidud esimesed fookusrühmad ning kirjanduse ülevaade. Poliitikaanalüüs valmib plaanikohaselt IV kvartalis.</t>
  </si>
  <si>
    <t xml:space="preserve">Sissejuhatava seminari läbiviimine teemal, kuidas suhtuda C-19 kriisi kontekstis eelarvedefitsiiti, mis toimus 18. mail toimunud juhtkomisjoni kohtumisel sisulise teema tutvustusena. </t>
  </si>
  <si>
    <t>Ettevõtjatega intervjuude läbiviimine ning tulemuste põhjal kokkuvõtte koostamine.</t>
  </si>
  <si>
    <t>Intervjuude tulemuste põhjal mudelite valideerimine ja meetmete analüüs.</t>
  </si>
  <si>
    <t>Haugas, S., Sepper, M-L. (2021). COVID-19 sotsiaal-majanduslik mõju soolisele võrdõiguslikkusele, Praxise poliitikaanalüüs, Mõttekoda Praxis, 2021, kättesaadav: http://www.praxis.ee/wp-content/uploads/2021/01/Pandeemia_ja_sooline_vordoiguslikkus_poliitikaanaluus-2.pdf</t>
  </si>
  <si>
    <t>12.06.2021. Delfi. INTERVJUU | Majandusteadlane räägib koroonakriisi mõjudest ja kas ühiskonda tasus lukku panna. Lenno Uusküla intervjuu. https://forte.delfi.ee/artikkel/93714029/intervjuu-majandusteadlane-raagib-koroonakriisi-mojudest-ja-kas-uhiskonda-tasus-lukku-panna</t>
  </si>
  <si>
    <t>20%</t>
  </si>
  <si>
    <t>Konkreetsed edasised tegevused lepitakse kokku tellijaga.</t>
  </si>
  <si>
    <t xml:space="preserve">Majanduskasvu meetmeid on puudutatud tegevuse 3.1 all, mis käsitleb kriisist taastumist. </t>
  </si>
  <si>
    <t>Projekti II kv juhtkomisjoni kohtumise korraldamine ja läbiviimine. Kohtumine toimus 18. mail 2021 Ms Teams veebikeskkonna vahendusel. Juhtkomisjoni kohtumisel tutvustati tellijale mh ka kahte sisulist teemat: 1. teiste riikide COVID-19 poliitikameetmete kaardistus ja tõhususe analüüs; 2.
eelarvedefitsiit käesoleva kriisi kontekstis. III kv juhtkomisjoni kohtumise ettevalmistamine.</t>
  </si>
  <si>
    <t>Vajadusel makromudeli sisendparameetrite täpsustamine, meetmete raporti täiendamine modelleerimise tulemustega.</t>
  </si>
  <si>
    <t xml:space="preserve">Makromudeli esimese versiooni koostamine, pakkumise poole mõjude moodulite integreerimine, käibemaksu muutuse mõju arvestamise lisamine mudelisse. Viidi läbi esimesed katsetused poliitikameetmete (vautšerite ja töötuskindlustushüvitise modifitseerimise meetmed) analüüsimiseks makromudeli abil.  </t>
  </si>
  <si>
    <t xml:space="preserve">Jätkatakse makromudeli maksumooduli osa arendamisega. Mudeli abil viiakse läbi vähemalt kahe poliitikameetme makromõjude lõplik analüüs. </t>
  </si>
  <si>
    <t>65%</t>
  </si>
  <si>
    <t xml:space="preserve">23.08.2021 Uuringu 6. analüütiline seminar teemadel "C-19 pandeemia sotsiaal-majanduslik mõju soolisele võrdõiguslikkusele" ja"Välisturgude seosed Eesti ekspordi lõpptarbimisega". </t>
  </si>
  <si>
    <t xml:space="preserve">30.09.2021 Uuringu 7. analüütiline seminar teemadel "Hinna- ja sissetuleku elastsused" ja "Võlast ja selle vähendamisest madalate intresside maailmas". </t>
  </si>
  <si>
    <t xml:space="preserve">28.10.2021 Uuringu 8. analüütiline seminar teemadel "Käibemaksuerandi meetme analüüs"ja "Kumb on kriitilisem – välismõjud või meie meetmed?". </t>
  </si>
  <si>
    <t>Projekti III kv juhtkomisjoni kohtumise korraldamine ja läbiviimine. Kohtumine toimus 23. augustil 2021 Ms Teams veebikeskkonna vahendusel. IV kv juhtkomisjoni kohtumise ettevalmistamine.</t>
  </si>
  <si>
    <t>Juhtkomisjoni IV kv kohtumise läbiviimine 2021. aasta novembris. Juhtkomisjoni V kv kohtumise ettevalmistamine (toimub veebruaris 2022).</t>
  </si>
  <si>
    <t>23.08.2021 Uuringu juhtkomisjoni kohtumine, MS Teams veebikeskkonna vahendusel</t>
  </si>
  <si>
    <r>
      <t xml:space="preserve">Projekti sisu- ja korralduslike tegevuste planeerimine, igapäevase infovahetuse koordineermine ja koosolekute kokkukutsumine. Projekti sisueesmärkide ja ajakava jälgimine. Kodulehe ja listide haldamine. Projekti 6., 7. ja 8. analüütilise seminari korraldamine. 6. seminar toimus 23. august ja  teemadeks olid: 1. Hinna- ja sissetuleku elastsused; 2. Võlast ja selle vähendamisest madalate intresside maailmas. Seminaril osales 19 inimest, sh 11 tellijate esindajat koos kolleegidega. 7. seminar toimus 30. sept ja teemadeks olid: 1. VÕS lepinguga inimeste toimetuleku analüüs; 2. Toitlustus-ettevõtete toetamine vautšerite kaudu. Seminaril osales 25 inimest, sh 17 tellijate esindajat koos </t>
    </r>
    <r>
      <rPr>
        <sz val="9"/>
        <rFont val="Calibri"/>
        <family val="2"/>
      </rPr>
      <t xml:space="preserve">kolleegidega. 8. seminar toimus 28. okt ja teemadeks olid: 1. Käibemaksumäära ajutise langetamise simuleeritud mõjud, 2. Sise- ja välisnõudluse muutuste mõju analüüs makromudeliga. Lisaks arutati seminaril edasise tööplaani ettepanekut. Seminaril osales 20 inimest, sh 11 tellijate esindajat koos kolleegidega. </t>
    </r>
    <r>
      <rPr>
        <sz val="9"/>
        <color rgb="FF000000"/>
        <rFont val="Calibri"/>
        <family val="2"/>
        <charset val="186"/>
      </rPr>
      <t>Projekti IV kvartali aruande koostamine.</t>
    </r>
  </si>
  <si>
    <t>70%</t>
  </si>
  <si>
    <t>Projekti sisu- ja korralduslike tegevuste planeerimine, igapäevase infovahetuse koordineermine ja koosolekute kokkukutsumine. Projekti sisueesmärkide ja ajakava jälgimine. Kodulehe ja listide haldamine. Projekti 3. analüütilise seminari korraldamine ja läbiviimine. Seminar toimus 18. märts, teemaks oli "Makromudeli arendamine", seminari osales 17 inimeste, sh tellijate esindajad koos kolleegidega. Projekti 4. analüütilise seminari korraldamine ja läbiviimine. Seminar toimub 20. aprill, teemadeks oli "Puue ja pandeemia – COVID-19 kriisi mõju puuetega inimestele ja puuetega laste vanematele" ja "Eesti riikliku taastekava projekti pikaajaliste sotsiaalmajanduslike mõjude välkanalüüs", seminaril osales 39 inimeste, sh tellijate esindajad koos kolleegidega. 
Tellija poolt täiendava ülesandena antud tegevuse "Eesti riikliku taastekava projekti pikaajaliste sotsiaalmajanduslike mõjude välkanalüüs" lahendamise koordineerimine ja tegevuste korraldamine. Projekti II kvartali aruande koostamine.</t>
  </si>
  <si>
    <t>95%</t>
  </si>
  <si>
    <t>Lenno Uusküla, Ph.D TÜ; Kaupo Koppel, MA Praxis; Janno Järve, Ph.D Centar</t>
  </si>
  <si>
    <t>Sten Anspal, Ph.D Centar; Epp Kallaste, Ph.D Centar; 
Aleksandr Michelson, Ph.D Praxis; Kaupo Koppel, MA Praxis</t>
  </si>
  <si>
    <t>Lõppraportisse lühiülevaate koostamine automaatsete stabilisaatorite ja diskreetsete meetmete rollist kriisi leevendamisel EL riikides.</t>
  </si>
  <si>
    <t>Majanduskasvu taastamise meetmeid on puudutatud punkti 3.1 all, mis käesitleb kriisist taastumist. Tellijaga aruande punktide ümbersõnastused arutelu läbiviimine.</t>
  </si>
  <si>
    <t>Lenno Uusküla, Ph.D TÜ; Andres Võrk, MA TÜ; Taavi Unt, MA TÜ; Janno Järve, Ph.D Centar;
Kaupo Koppel, MA, Praxis</t>
  </si>
  <si>
    <t>Lenno Uusküla, Ph.D TÜ; Andres Võrk, MA TÜ; Taavi Unt, MA TÜ; Janno Järve, Ph.D Centar; Kaupo Koppel, MA Praxis; Kadri Arrak, MA, Praxis</t>
  </si>
  <si>
    <t>75%</t>
  </si>
  <si>
    <t>Eakate toimetuleku analüüs valmib novembri jooksul. Mõningaid viivitusi on tekitanud eakatega fookusrühmade ja intervjuude korraldamine seoses COVID piirangutega</t>
  </si>
  <si>
    <t>EUROMODis toetati III tööpaketi meetmete analüüsi, täpsemalt sisustati vautšerite ja käibemaksumeetme jaotuslike mõjude poolt.
Tutvustati eelmisel kvartalil valminud poliitikaanalüüsi ebatüüpiliste lepingutega inimeste käekäigust pandeemia esimese laine ajal.</t>
  </si>
  <si>
    <t>Kaupo Koppel, MA, Praxis; Mari-Liis Sepper, MA, Praxis; Kristi Anniste, PhD, Praxis</t>
  </si>
  <si>
    <t>Kaupo Koppel, MA, Praxis; Merilen Laurimäe, MA, Praxis</t>
  </si>
  <si>
    <t>Lõpetatakse eakate toimetuleku analüüsi koostamine.</t>
  </si>
  <si>
    <t>Valmis noorte kriisiaegse toimetuleku analüüsipaber, jätkus eakate toimetuleku analüüsi koostamine.</t>
  </si>
  <si>
    <t>Alustatakse kriisi regionaalsete mõjude analüüsiga (agiilse uurimisteemana kokkuleppel tellijaga). Täpsemad uurimisküsimused arutatakse läbi Sotsiaalministeeriumiga.</t>
  </si>
  <si>
    <t>Koostati lühiformaadis ja soovitustega poliitikaanalüüs noorte kriisiaegsest toimetulekust.</t>
  </si>
  <si>
    <t>Koppel, K., Laurimäe, M.; 2021. COVID-19 sotsiaal-majanduslik mõju: Võlaõiguslikud töösuhted ja sotsiaalkaitse pandeemia esimese laine ajal. Tallinn: Poliitikauuringute Keskus Praxis.</t>
  </si>
  <si>
    <t>30%</t>
  </si>
  <si>
    <t>Kaupo Koppel, MA, Praxis; Merilen Laurimäe, MA, Praxis; Mari-Liis Sepper, MA, Praxis; Kristi Anniste, PhD, Praxis; Aleksandr Michelson, PhD, Praxis</t>
  </si>
  <si>
    <t>Haugas, S., Allemann, M., Anniste, K. (2021). COVID-19 pandeemia sotsiaal-majanduslik mõju noortele: Viiruskriis kui noorte tööhõive ja vaimse tervise kriis. Tallinn: Poliitikauuringute Keskus Praxis.</t>
  </si>
  <si>
    <t>Viidi läbi analüütiline seminar eelarvedefitsiidi teemal (23. august), arutelupaberi koostamine.</t>
  </si>
  <si>
    <t>Makromudeliga viidi läbi nõudluse erinevate komponentide analüüs. Keskenduti eratarbimisele, valitsuse tarbimisele, investeeringutele ja kaubandusele peamiste kaubanduspartnerite lõikes ja koguekspordina. Toimus ettekande analüütilisel seminaril.</t>
  </si>
  <si>
    <t>Nõudluse komponentide analüüsi raporti lõpetamine. Nõudluse ja pakkumise šokkide analüüs. Läbi viiakse kriisi ja migratsiooni vaheliste seoste analüüs. Alustatakse kriisi mõju hindamist majanduse struktuurile (valmib VI kvartali alguses).</t>
  </si>
  <si>
    <t>Alustatakse majanduspoliitiliste soovituste koostamist (lõppraporti viimane peatükk), mis viiakse lõpuni VI kvartali alguses.</t>
  </si>
  <si>
    <t>Projekti sisu- ja korralduslike tegevuste planeerimine, igapäevase infovahetuse koordineermine ja koosolekute kokkukutsumine. Projekti sisueesmärkide ja ajakava jälgimine. Kodulehe ja listide haldamine. Projekti järgmiste analüütiliste seminaride korraldamine (perioodil november 2021 kuni jaanuar 2022) vastavalt kokkuleppele tellijaga. Projekti V kvartali aruande koostamine.
V jaVI kvartali oluliselt lisategevuseks saab olema projekti lõppraporti koostamise koordineerimine.</t>
  </si>
  <si>
    <t>Makromudeli sisendparameetrite täpsustamine (defineeriti makromudeli sisend vautšerite ja lapsevanematele lisapuhkepäevade andmise meetmete modelleerimiseks ja käibemaksuerisuste modelleerimiseks), meetmete raporteid täiendati modelleerimise tulemustega.</t>
  </si>
  <si>
    <t xml:space="preserve">Lapsevanemate lisapuhkepäevade meetme raporti lõpetamine, Töötushüvitise toetusperioodi pikendamise meetme raporti koostamine. Meetmete raportite põhjal peatüki koostamine lõppraportisse. </t>
  </si>
  <si>
    <t xml:space="preserve">Meetmete läbijooksutamine mudelist: 
i) Vautšerite mõju mudelis (ettekanne).
ii) Käibemaksu erandite mõju mudelis (ettekanne). 
Makromudeli arendus jõudis lõpule.  Mudelit  testiti meetmete analüüsimisel, tulemused on konsistentsed. Alustati metoodika ja mudeli koodi (täiendava) dokumenteerimisega.
</t>
  </si>
  <si>
    <t xml:space="preserve">Ülejäänud meetmete mõjuanalüüsi lõpetamine (Eriotstarbline puhkus töötavatele vanematele, Töötushüvitise teotusperioodi pikendamine), ettekannete tegemine ja lühiraprotite kirjutamine. Viies meede (maksepuhkused laenu võtnud inimestele) osutus Eesti kontekstis ebavajlikuks ning seda detailsemalt ei analüüsita. 
Viiakse lõpuni mudeli metoodika dokumenteerimine ja ka mudeli koodi dokumenteerimine mudeli skriptifailide sees. Alustatakse mudeli andmeid ettevalmistavate osade tõstmist eraldi koodipanka (viiakse lõpuni VI kvartalis, ka tellijate mudeli-alane koolitamine  on plaanis läbi viia VI kvartali alguses.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</si>
</sst>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425]"/>
    <numFmt numFmtId="165" formatCode="#,##0.00\ &quot;€&quot;"/>
    <numFmt numFmtId="166" formatCode="mm/yyyy"/>
  </numFmts>
  <fonts count="51" x14ac:knownFonts="1">
    <font>
      <sz val="11"/>
      <color theme="1"/>
      <name val="Calibri"/>
      <family val="2"/>
      <charset val="186"/>
      <scheme val="minor"/>
    </font>
    <font>
      <b/>
      <sz val="11"/>
      <color rgb="FFFF0000"/>
      <name val="Calibri"/>
      <family val="2"/>
      <charset val="186"/>
      <scheme val="minor"/>
    </font>
    <font>
      <b/>
      <sz val="9"/>
      <color theme="1"/>
      <name val="Calibri Light"/>
      <family val="2"/>
      <charset val="186"/>
    </font>
    <font>
      <b/>
      <sz val="7"/>
      <color theme="1"/>
      <name val="Times New Roman"/>
      <family val="1"/>
      <charset val="186"/>
    </font>
    <font>
      <sz val="9"/>
      <color theme="1"/>
      <name val="Calibri Light"/>
      <family val="2"/>
      <charset val="186"/>
    </font>
    <font>
      <u/>
      <sz val="11"/>
      <color theme="1"/>
      <name val="Calibri Light"/>
      <family val="2"/>
      <charset val="186"/>
    </font>
    <font>
      <sz val="11"/>
      <color theme="1"/>
      <name val="Calibri Light"/>
      <family val="2"/>
      <charset val="186"/>
    </font>
    <font>
      <i/>
      <sz val="9"/>
      <color theme="1"/>
      <name val="Calibri Light"/>
      <family val="2"/>
      <charset val="186"/>
    </font>
    <font>
      <sz val="7"/>
      <color theme="1"/>
      <name val="Times New Roman"/>
      <family val="1"/>
      <charset val="186"/>
    </font>
    <font>
      <b/>
      <sz val="11"/>
      <color theme="1"/>
      <name val="Calibri"/>
      <family val="2"/>
      <scheme val="minor"/>
    </font>
    <font>
      <b/>
      <sz val="11"/>
      <color rgb="FFFF0000"/>
      <name val="Calibri"/>
      <family val="2"/>
      <scheme val="minor"/>
    </font>
    <font>
      <sz val="11"/>
      <name val="Calibri"/>
      <family val="2"/>
      <scheme val="minor"/>
    </font>
    <font>
      <u/>
      <sz val="11"/>
      <color theme="10"/>
      <name val="Calibri"/>
      <family val="2"/>
      <charset val="186"/>
      <scheme val="minor"/>
    </font>
    <font>
      <sz val="12"/>
      <color theme="1"/>
      <name val="Calibri"/>
      <family val="2"/>
      <scheme val="minor"/>
    </font>
    <font>
      <sz val="11"/>
      <color rgb="FF000000"/>
      <name val="Cambria"/>
      <family val="1"/>
      <charset val="186"/>
    </font>
    <font>
      <sz val="9"/>
      <color rgb="FF000000"/>
      <name val="Calibri"/>
      <family val="2"/>
      <charset val="186"/>
    </font>
    <font>
      <sz val="11"/>
      <color rgb="FF000000"/>
      <name val="Arial"/>
      <family val="2"/>
      <charset val="186"/>
    </font>
    <font>
      <sz val="11"/>
      <color rgb="FF000000"/>
      <name val="Calibri"/>
      <family val="2"/>
      <charset val="186"/>
      <scheme val="minor"/>
    </font>
    <font>
      <sz val="16"/>
      <color rgb="FFFF0000"/>
      <name val="Calibri"/>
      <family val="2"/>
      <charset val="186"/>
      <scheme val="minor"/>
    </font>
    <font>
      <b/>
      <sz val="10"/>
      <color theme="1"/>
      <name val="Calibri"/>
      <family val="2"/>
      <charset val="186"/>
      <scheme val="minor"/>
    </font>
    <font>
      <sz val="10"/>
      <color theme="1"/>
      <name val="Calibri"/>
      <family val="2"/>
      <charset val="186"/>
      <scheme val="minor"/>
    </font>
    <font>
      <sz val="10"/>
      <color rgb="FF000000"/>
      <name val="Calibri"/>
      <family val="2"/>
      <scheme val="minor"/>
    </font>
    <font>
      <b/>
      <sz val="11"/>
      <color theme="1"/>
      <name val="Calibri"/>
      <family val="2"/>
      <charset val="186"/>
      <scheme val="minor"/>
    </font>
    <font>
      <sz val="14"/>
      <color theme="4" tint="-0.499984740745262"/>
      <name val="Calibri"/>
      <family val="2"/>
      <charset val="186"/>
      <scheme val="minor"/>
    </font>
    <font>
      <b/>
      <sz val="11"/>
      <color theme="4" tint="-0.499984740745262"/>
      <name val="Calibri"/>
      <family val="2"/>
      <charset val="186"/>
      <scheme val="minor"/>
    </font>
    <font>
      <sz val="11"/>
      <color theme="4" tint="-0.499984740745262"/>
      <name val="Calibri"/>
      <family val="2"/>
      <charset val="186"/>
      <scheme val="minor"/>
    </font>
    <font>
      <b/>
      <sz val="12"/>
      <color theme="4" tint="-0.499984740745262"/>
      <name val="Calibri"/>
      <family val="2"/>
      <charset val="186"/>
      <scheme val="minor"/>
    </font>
    <font>
      <b/>
      <sz val="18"/>
      <color theme="4" tint="-0.499984740745262"/>
      <name val="Calibri"/>
      <family val="2"/>
      <charset val="186"/>
      <scheme val="minor"/>
    </font>
    <font>
      <i/>
      <sz val="16"/>
      <color rgb="FFFF0000"/>
      <name val="Calibri"/>
      <family val="2"/>
      <charset val="186"/>
      <scheme val="minor"/>
    </font>
    <font>
      <i/>
      <sz val="11"/>
      <color theme="1"/>
      <name val="Calibri"/>
      <family val="2"/>
      <charset val="186"/>
      <scheme val="minor"/>
    </font>
    <font>
      <i/>
      <sz val="11"/>
      <name val="Calibri"/>
      <family val="2"/>
      <charset val="186"/>
      <scheme val="minor"/>
    </font>
    <font>
      <sz val="16"/>
      <color theme="4" tint="-0.499984740745262"/>
      <name val="Calibri"/>
      <family val="2"/>
      <charset val="186"/>
      <scheme val="minor"/>
    </font>
    <font>
      <b/>
      <sz val="9"/>
      <name val="Calibri Light"/>
      <family val="2"/>
      <scheme val="major"/>
    </font>
    <font>
      <i/>
      <sz val="11"/>
      <color theme="1"/>
      <name val="Calibri"/>
      <family val="2"/>
      <scheme val="minor"/>
    </font>
    <font>
      <sz val="9"/>
      <color rgb="FF000000"/>
      <name val="Calibri"/>
      <family val="2"/>
    </font>
    <font>
      <sz val="11"/>
      <color rgb="FF000000"/>
      <name val="Calibri"/>
      <family val="2"/>
      <scheme val="minor"/>
    </font>
    <font>
      <b/>
      <sz val="11"/>
      <color rgb="FF000000"/>
      <name val="Calibri"/>
      <family val="2"/>
      <scheme val="minor"/>
    </font>
    <font>
      <sz val="11"/>
      <name val="Calibri"/>
      <family val="2"/>
      <charset val="186"/>
      <scheme val="minor"/>
    </font>
    <font>
      <sz val="9"/>
      <name val="Calibri"/>
      <family val="2"/>
      <charset val="186"/>
    </font>
    <font>
      <sz val="12"/>
      <color theme="1"/>
      <name val="Calibri"/>
      <family val="2"/>
      <charset val="186"/>
      <scheme val="minor"/>
    </font>
    <font>
      <sz val="9"/>
      <color theme="1"/>
      <name val="Calibri"/>
      <family val="2"/>
      <scheme val="minor"/>
    </font>
    <font>
      <u/>
      <sz val="9"/>
      <color theme="10"/>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color rgb="FF000000"/>
      <name val="Calibri"/>
      <family val="2"/>
      <charset val="186"/>
      <scheme val="minor"/>
    </font>
    <font>
      <sz val="9"/>
      <color theme="1"/>
      <name val="Calibri"/>
      <family val="2"/>
      <charset val="186"/>
      <scheme val="minor"/>
    </font>
    <font>
      <i/>
      <sz val="10"/>
      <color theme="1"/>
      <name val="Calibri Light"/>
      <family val="2"/>
    </font>
    <font>
      <i/>
      <sz val="10"/>
      <name val="Calibri"/>
      <family val="2"/>
      <scheme val="minor"/>
    </font>
    <font>
      <sz val="9"/>
      <name val="Calibri"/>
      <family val="2"/>
    </font>
    <font>
      <sz val="10"/>
      <color theme="1"/>
      <name val="Calibri Light"/>
      <family val="2"/>
    </font>
  </fonts>
  <fills count="10">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0" fontId="13" fillId="0" borderId="0"/>
  </cellStyleXfs>
  <cellXfs count="356">
    <xf numFmtId="0" fontId="0" fillId="0" borderId="0" xfId="0"/>
    <xf numFmtId="16" fontId="0" fillId="0" borderId="1" xfId="0" applyNumberFormat="1" applyBorder="1" applyAlignment="1">
      <alignment horizontal="center"/>
    </xf>
    <xf numFmtId="0" fontId="0" fillId="0" borderId="1" xfId="0" applyBorder="1" applyAlignment="1">
      <alignment horizontal="center"/>
    </xf>
    <xf numFmtId="0" fontId="0" fillId="0" borderId="2" xfId="0" applyBorder="1" applyAlignment="1">
      <alignment wrapText="1"/>
    </xf>
    <xf numFmtId="0" fontId="6" fillId="3" borderId="19" xfId="0" applyFont="1" applyFill="1" applyBorder="1" applyAlignment="1">
      <alignment vertical="center" wrapText="1"/>
    </xf>
    <xf numFmtId="0" fontId="0" fillId="0" borderId="0" xfId="0" applyAlignment="1">
      <alignment horizontal="left"/>
    </xf>
    <xf numFmtId="0" fontId="0" fillId="0" borderId="22" xfId="0" applyBorder="1"/>
    <xf numFmtId="0" fontId="0" fillId="0" borderId="23" xfId="0" applyBorder="1"/>
    <xf numFmtId="0" fontId="0" fillId="0" borderId="20" xfId="0" applyBorder="1"/>
    <xf numFmtId="16" fontId="0" fillId="0" borderId="1" xfId="0" applyNumberFormat="1" applyFont="1" applyBorder="1" applyAlignment="1">
      <alignment horizontal="center"/>
    </xf>
    <xf numFmtId="0" fontId="0" fillId="0" borderId="0" xfId="0" applyFont="1"/>
    <xf numFmtId="0" fontId="0" fillId="0" borderId="2" xfId="0" applyFont="1" applyFill="1" applyBorder="1" applyAlignment="1">
      <alignment wrapText="1"/>
    </xf>
    <xf numFmtId="0" fontId="9" fillId="0" borderId="2" xfId="0" applyFont="1" applyFill="1" applyBorder="1" applyAlignment="1">
      <alignment wrapText="1"/>
    </xf>
    <xf numFmtId="0" fontId="5" fillId="3" borderId="19" xfId="0" applyFont="1" applyFill="1" applyBorder="1" applyAlignment="1">
      <alignment vertical="center" wrapText="1"/>
    </xf>
    <xf numFmtId="0" fontId="6" fillId="3" borderId="16" xfId="0" applyFont="1" applyFill="1" applyBorder="1" applyAlignment="1">
      <alignment vertical="center" wrapText="1"/>
    </xf>
    <xf numFmtId="0" fontId="0" fillId="0" borderId="0" xfId="0" applyFill="1" applyBorder="1"/>
    <xf numFmtId="0" fontId="0" fillId="0" borderId="0" xfId="0" applyFill="1"/>
    <xf numFmtId="0" fontId="10" fillId="0" borderId="0" xfId="0" applyFont="1" applyFill="1" applyBorder="1"/>
    <xf numFmtId="0" fontId="1" fillId="0" borderId="0" xfId="0" applyFont="1"/>
    <xf numFmtId="0" fontId="11" fillId="0" borderId="0" xfId="0" applyFont="1" applyFill="1"/>
    <xf numFmtId="0" fontId="11" fillId="0" borderId="0" xfId="0" applyFont="1" applyFill="1" applyAlignment="1">
      <alignment horizontal="center" vertical="top"/>
    </xf>
    <xf numFmtId="0" fontId="16" fillId="0" borderId="0" xfId="0" applyFont="1" applyFill="1" applyBorder="1"/>
    <xf numFmtId="0" fontId="0" fillId="0" borderId="0" xfId="0" applyFill="1" applyAlignment="1">
      <alignment horizontal="center" vertical="center"/>
    </xf>
    <xf numFmtId="0" fontId="0" fillId="0" borderId="0" xfId="0" applyFill="1" applyAlignment="1">
      <alignment horizontal="right"/>
    </xf>
    <xf numFmtId="0" fontId="0" fillId="0" borderId="0" xfId="0" applyFill="1" applyAlignment="1">
      <alignment horizontal="right" vertical="center"/>
    </xf>
    <xf numFmtId="0" fontId="14" fillId="0" borderId="0" xfId="0" applyFont="1" applyFill="1" applyBorder="1" applyAlignment="1">
      <alignment horizontal="right" vertical="center"/>
    </xf>
    <xf numFmtId="0" fontId="16" fillId="0" borderId="0" xfId="0" applyFont="1" applyFill="1" applyBorder="1" applyAlignment="1">
      <alignment horizontal="right"/>
    </xf>
    <xf numFmtId="0" fontId="0" fillId="0" borderId="0" xfId="0" applyFont="1" applyFill="1"/>
    <xf numFmtId="0" fontId="17" fillId="0" borderId="0" xfId="0" applyFont="1" applyFill="1" applyBorder="1" applyAlignment="1">
      <alignment horizontal="center" vertical="center"/>
    </xf>
    <xf numFmtId="0" fontId="17" fillId="0" borderId="0" xfId="0" applyFont="1" applyFill="1" applyBorder="1"/>
    <xf numFmtId="0" fontId="18" fillId="0" borderId="0" xfId="0" applyFont="1" applyFill="1" applyAlignment="1">
      <alignment horizontal="right" vertical="center"/>
    </xf>
    <xf numFmtId="0" fontId="17" fillId="0" borderId="0" xfId="0" applyFont="1" applyFill="1" applyBorder="1" applyAlignment="1">
      <alignment horizontal="right" vertical="center"/>
    </xf>
    <xf numFmtId="0" fontId="5" fillId="3" borderId="16" xfId="0" applyFont="1" applyFill="1" applyBorder="1" applyAlignment="1">
      <alignment vertical="center" wrapText="1"/>
    </xf>
    <xf numFmtId="0" fontId="19" fillId="0" borderId="0" xfId="0" applyFont="1" applyBorder="1" applyAlignment="1">
      <alignment vertical="center" wrapText="1"/>
    </xf>
    <xf numFmtId="49" fontId="15" fillId="5" borderId="15" xfId="0" applyNumberFormat="1" applyFont="1" applyFill="1" applyBorder="1" applyAlignment="1">
      <alignment horizontal="center" vertical="center"/>
    </xf>
    <xf numFmtId="49" fontId="15" fillId="5" borderId="14" xfId="0" applyNumberFormat="1" applyFont="1" applyFill="1" applyBorder="1" applyAlignment="1">
      <alignment horizontal="center" vertical="center"/>
    </xf>
    <xf numFmtId="49" fontId="15" fillId="6" borderId="15" xfId="0" applyNumberFormat="1" applyFont="1" applyFill="1" applyBorder="1" applyAlignment="1">
      <alignment horizontal="center" vertical="center"/>
    </xf>
    <xf numFmtId="49" fontId="15" fillId="6" borderId="14" xfId="0" applyNumberFormat="1" applyFont="1" applyFill="1" applyBorder="1" applyAlignment="1">
      <alignment horizontal="center" vertical="center"/>
    </xf>
    <xf numFmtId="49" fontId="15" fillId="6" borderId="26" xfId="0" applyNumberFormat="1" applyFont="1" applyFill="1" applyBorder="1" applyAlignment="1">
      <alignment horizontal="center" vertical="center"/>
    </xf>
    <xf numFmtId="49" fontId="15" fillId="6" borderId="42"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xf>
    <xf numFmtId="49" fontId="15" fillId="6" borderId="8"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2" xfId="0" applyNumberFormat="1" applyFont="1" applyFill="1" applyBorder="1" applyAlignment="1">
      <alignment horizontal="center" vertical="center"/>
    </xf>
    <xf numFmtId="49" fontId="15" fillId="6" borderId="30"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15" fillId="4" borderId="2" xfId="0" applyNumberFormat="1" applyFont="1" applyFill="1" applyBorder="1" applyAlignment="1">
      <alignment horizontal="center" vertical="center"/>
    </xf>
    <xf numFmtId="49" fontId="15" fillId="4" borderId="30" xfId="0" applyNumberFormat="1" applyFont="1" applyFill="1" applyBorder="1" applyAlignment="1">
      <alignment horizontal="center" vertical="center"/>
    </xf>
    <xf numFmtId="49" fontId="15" fillId="4" borderId="17" xfId="0" applyNumberFormat="1" applyFont="1" applyFill="1" applyBorder="1" applyAlignment="1">
      <alignment horizontal="center" vertical="center"/>
    </xf>
    <xf numFmtId="49" fontId="15" fillId="4" borderId="37" xfId="0" applyNumberFormat="1" applyFont="1" applyFill="1" applyBorder="1" applyAlignment="1">
      <alignment horizontal="center" vertical="center"/>
    </xf>
    <xf numFmtId="49" fontId="15" fillId="4" borderId="14"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xf>
    <xf numFmtId="49" fontId="15" fillId="4" borderId="11" xfId="0"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49" fontId="15" fillId="4" borderId="25" xfId="0" applyNumberFormat="1" applyFont="1" applyFill="1" applyBorder="1" applyAlignment="1">
      <alignment horizontal="center" vertical="center"/>
    </xf>
    <xf numFmtId="49" fontId="15" fillId="4" borderId="29" xfId="0" applyNumberFormat="1" applyFont="1" applyFill="1" applyBorder="1" applyAlignment="1">
      <alignment horizontal="center" vertical="center"/>
    </xf>
    <xf numFmtId="49" fontId="15" fillId="6" borderId="41" xfId="0" applyNumberFormat="1" applyFont="1" applyFill="1" applyBorder="1" applyAlignment="1">
      <alignment horizontal="center" vertical="center"/>
    </xf>
    <xf numFmtId="49" fontId="15" fillId="6" borderId="17" xfId="0" applyNumberFormat="1" applyFont="1" applyFill="1" applyBorder="1" applyAlignment="1">
      <alignment horizontal="center" vertical="center"/>
    </xf>
    <xf numFmtId="49" fontId="15" fillId="4" borderId="32" xfId="0" applyNumberFormat="1" applyFont="1" applyFill="1" applyBorder="1" applyAlignment="1">
      <alignment horizontal="center" vertical="center"/>
    </xf>
    <xf numFmtId="49" fontId="15" fillId="4" borderId="26" xfId="0" applyNumberFormat="1" applyFont="1" applyFill="1" applyBorder="1" applyAlignment="1">
      <alignment horizontal="center" vertical="center"/>
    </xf>
    <xf numFmtId="49" fontId="15" fillId="4" borderId="38" xfId="0" applyNumberFormat="1" applyFont="1" applyFill="1" applyBorder="1" applyAlignment="1">
      <alignment horizontal="center" vertical="center"/>
    </xf>
    <xf numFmtId="49" fontId="15" fillId="4" borderId="47"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0" fontId="0" fillId="0" borderId="20" xfId="0" applyFill="1" applyBorder="1"/>
    <xf numFmtId="2" fontId="0" fillId="5" borderId="6" xfId="0" applyNumberFormat="1" applyFill="1" applyBorder="1"/>
    <xf numFmtId="2" fontId="0" fillId="5" borderId="0" xfId="0" applyNumberFormat="1" applyFill="1" applyBorder="1"/>
    <xf numFmtId="2" fontId="0" fillId="5" borderId="7" xfId="0" applyNumberFormat="1" applyFill="1" applyBorder="1"/>
    <xf numFmtId="2" fontId="0" fillId="5" borderId="15" xfId="0" applyNumberFormat="1" applyFill="1" applyBorder="1"/>
    <xf numFmtId="2" fontId="0" fillId="5" borderId="42" xfId="0" applyNumberFormat="1" applyFill="1" applyBorder="1"/>
    <xf numFmtId="0" fontId="24" fillId="5" borderId="2" xfId="0" applyFont="1" applyFill="1" applyBorder="1"/>
    <xf numFmtId="0" fontId="25" fillId="0" borderId="1" xfId="0" applyFont="1" applyBorder="1" applyAlignment="1">
      <alignment horizontal="center"/>
    </xf>
    <xf numFmtId="2" fontId="0" fillId="5" borderId="8" xfId="0" applyNumberFormat="1" applyFill="1" applyBorder="1"/>
    <xf numFmtId="2" fontId="0" fillId="5" borderId="30" xfId="0" applyNumberFormat="1" applyFill="1" applyBorder="1"/>
    <xf numFmtId="0" fontId="24" fillId="5" borderId="2" xfId="0" applyFont="1" applyFill="1" applyBorder="1" applyAlignment="1">
      <alignment wrapText="1"/>
    </xf>
    <xf numFmtId="0" fontId="0" fillId="7" borderId="18" xfId="0" applyFill="1" applyBorder="1"/>
    <xf numFmtId="0" fontId="28" fillId="0" borderId="0" xfId="0" applyFont="1" applyFill="1" applyAlignment="1">
      <alignment horizontal="right" vertical="center" wrapText="1"/>
    </xf>
    <xf numFmtId="0" fontId="6" fillId="3" borderId="20" xfId="0" applyFont="1" applyFill="1" applyBorder="1" applyAlignment="1">
      <alignment horizontal="left" vertical="center" wrapText="1"/>
    </xf>
    <xf numFmtId="14" fontId="6" fillId="3" borderId="10" xfId="0" applyNumberFormat="1" applyFont="1" applyFill="1" applyBorder="1" applyAlignment="1">
      <alignment horizontal="left" vertical="center" wrapText="1"/>
    </xf>
    <xf numFmtId="14" fontId="6" fillId="3" borderId="20" xfId="0" applyNumberFormat="1" applyFont="1" applyFill="1" applyBorder="1" applyAlignment="1">
      <alignment horizontal="left" vertical="center" wrapText="1"/>
    </xf>
    <xf numFmtId="165" fontId="6" fillId="3" borderId="20" xfId="0" applyNumberFormat="1" applyFont="1" applyFill="1" applyBorder="1" applyAlignment="1">
      <alignment horizontal="left" vertical="center" wrapText="1"/>
    </xf>
    <xf numFmtId="164" fontId="6" fillId="3" borderId="20" xfId="0" applyNumberFormat="1" applyFont="1" applyFill="1" applyBorder="1" applyAlignment="1">
      <alignment horizontal="left" vertical="center" wrapText="1"/>
    </xf>
    <xf numFmtId="0" fontId="19" fillId="0" borderId="7" xfId="0" applyFont="1" applyBorder="1" applyAlignment="1">
      <alignment vertical="center" wrapText="1"/>
    </xf>
    <xf numFmtId="0" fontId="0" fillId="0" borderId="0" xfId="0" applyAlignment="1">
      <alignment horizontal="center" vertical="center"/>
    </xf>
    <xf numFmtId="2" fontId="0" fillId="7" borderId="7" xfId="0" applyNumberFormat="1" applyFill="1" applyBorder="1" applyAlignment="1">
      <alignment horizontal="center" vertical="center"/>
    </xf>
    <xf numFmtId="2" fontId="0" fillId="7" borderId="21" xfId="0" applyNumberFormat="1" applyFill="1" applyBorder="1" applyAlignment="1">
      <alignment horizontal="center" vertical="center"/>
    </xf>
    <xf numFmtId="2" fontId="0" fillId="7" borderId="37" xfId="0" applyNumberFormat="1" applyFill="1" applyBorder="1" applyAlignment="1">
      <alignment horizontal="center" vertical="center"/>
    </xf>
    <xf numFmtId="2" fontId="0" fillId="7" borderId="33" xfId="0" applyNumberFormat="1" applyFill="1" applyBorder="1" applyAlignment="1">
      <alignment horizontal="center" vertical="center"/>
    </xf>
    <xf numFmtId="2" fontId="0" fillId="7" borderId="37" xfId="0" applyNumberFormat="1" applyFont="1" applyFill="1" applyBorder="1" applyAlignment="1">
      <alignment horizontal="center" vertical="center"/>
    </xf>
    <xf numFmtId="2" fontId="22" fillId="7" borderId="46" xfId="0" applyNumberFormat="1" applyFont="1" applyFill="1" applyBorder="1" applyAlignment="1">
      <alignment horizontal="center" vertical="center"/>
    </xf>
    <xf numFmtId="2" fontId="0" fillId="7" borderId="18" xfId="0" applyNumberFormat="1" applyFill="1" applyBorder="1" applyAlignment="1">
      <alignment horizontal="center" vertical="center"/>
    </xf>
    <xf numFmtId="2" fontId="0" fillId="7" borderId="33"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0" fillId="0" borderId="33" xfId="0" applyNumberFormat="1" applyBorder="1" applyAlignment="1">
      <alignment vertical="center"/>
    </xf>
    <xf numFmtId="2" fontId="9" fillId="7" borderId="36" xfId="0" applyNumberFormat="1" applyFont="1" applyFill="1" applyBorder="1" applyAlignment="1">
      <alignment vertical="center"/>
    </xf>
    <xf numFmtId="2" fontId="0" fillId="0" borderId="8" xfId="0" applyNumberFormat="1" applyBorder="1" applyAlignment="1">
      <alignment horizontal="center"/>
    </xf>
    <xf numFmtId="2" fontId="0" fillId="0" borderId="30" xfId="0" applyNumberFormat="1" applyBorder="1" applyAlignment="1">
      <alignment horizontal="center"/>
    </xf>
    <xf numFmtId="2" fontId="0" fillId="5" borderId="8" xfId="0" applyNumberFormat="1" applyFill="1" applyBorder="1" applyAlignment="1">
      <alignment horizontal="center"/>
    </xf>
    <xf numFmtId="2" fontId="0" fillId="5" borderId="30" xfId="0" applyNumberFormat="1" applyFill="1" applyBorder="1" applyAlignment="1">
      <alignment horizontal="center"/>
    </xf>
    <xf numFmtId="2" fontId="0" fillId="0" borderId="8"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5" borderId="8" xfId="0" applyNumberFormat="1" applyFill="1" applyBorder="1" applyAlignment="1">
      <alignment horizontal="center" vertical="center"/>
    </xf>
    <xf numFmtId="2" fontId="0" fillId="5" borderId="1" xfId="0" applyNumberFormat="1" applyFill="1" applyBorder="1" applyAlignment="1">
      <alignment horizontal="center" vertical="center"/>
    </xf>
    <xf numFmtId="2" fontId="9" fillId="5" borderId="27" xfId="0" applyNumberFormat="1" applyFont="1" applyFill="1" applyBorder="1" applyAlignment="1">
      <alignment horizontal="center" vertical="center"/>
    </xf>
    <xf numFmtId="2" fontId="9" fillId="5" borderId="34" xfId="0" applyNumberFormat="1"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2" fontId="0" fillId="5" borderId="6" xfId="0" applyNumberFormat="1" applyFill="1" applyBorder="1" applyAlignment="1">
      <alignment horizontal="center"/>
    </xf>
    <xf numFmtId="2" fontId="0" fillId="5" borderId="0" xfId="0" applyNumberFormat="1" applyFill="1" applyBorder="1" applyAlignment="1">
      <alignment horizontal="center"/>
    </xf>
    <xf numFmtId="2" fontId="0" fillId="5" borderId="7" xfId="0" applyNumberFormat="1" applyFill="1" applyBorder="1" applyAlignment="1">
      <alignment horizontal="center"/>
    </xf>
    <xf numFmtId="2" fontId="0" fillId="0" borderId="1" xfId="0" applyNumberFormat="1" applyBorder="1" applyAlignment="1">
      <alignment horizontal="center"/>
    </xf>
    <xf numFmtId="2" fontId="0" fillId="5" borderId="1" xfId="0" applyNumberFormat="1" applyFill="1" applyBorder="1" applyAlignment="1">
      <alignment horizontal="center"/>
    </xf>
    <xf numFmtId="2" fontId="0" fillId="0" borderId="30" xfId="0" applyNumberFormat="1" applyFont="1" applyFill="1" applyBorder="1" applyAlignment="1">
      <alignment horizontal="center" vertical="center"/>
    </xf>
    <xf numFmtId="2" fontId="0" fillId="5" borderId="30" xfId="0" applyNumberFormat="1" applyFill="1" applyBorder="1" applyAlignment="1">
      <alignment horizontal="center" vertical="center"/>
    </xf>
    <xf numFmtId="2" fontId="9" fillId="5" borderId="35" xfId="0" applyNumberFormat="1" applyFont="1" applyFill="1" applyBorder="1" applyAlignment="1">
      <alignment horizontal="center" vertical="center"/>
    </xf>
    <xf numFmtId="2" fontId="0" fillId="0" borderId="8" xfId="0" applyNumberFormat="1" applyBorder="1" applyAlignment="1">
      <alignment horizontal="center" vertical="center"/>
    </xf>
    <xf numFmtId="2" fontId="0" fillId="0" borderId="1" xfId="0" applyNumberFormat="1" applyBorder="1" applyAlignment="1">
      <alignment horizontal="center" vertical="center"/>
    </xf>
    <xf numFmtId="2" fontId="0" fillId="0" borderId="30" xfId="0" applyNumberFormat="1" applyBorder="1" applyAlignment="1">
      <alignment horizontal="center" vertical="center"/>
    </xf>
    <xf numFmtId="2" fontId="0" fillId="5" borderId="8" xfId="0" applyNumberFormat="1" applyFont="1" applyFill="1" applyBorder="1" applyAlignment="1">
      <alignment horizontal="center" vertical="center"/>
    </xf>
    <xf numFmtId="2" fontId="0" fillId="5" borderId="1" xfId="0" applyNumberFormat="1" applyFont="1" applyFill="1" applyBorder="1" applyAlignment="1">
      <alignment horizontal="center" vertical="center"/>
    </xf>
    <xf numFmtId="2" fontId="0" fillId="5" borderId="30" xfId="0" applyNumberFormat="1" applyFont="1" applyFill="1" applyBorder="1" applyAlignment="1">
      <alignment horizontal="center" vertical="center"/>
    </xf>
    <xf numFmtId="2" fontId="0" fillId="5" borderId="27" xfId="0" applyNumberFormat="1" applyFont="1" applyFill="1" applyBorder="1" applyAlignment="1">
      <alignment horizontal="center" vertical="center"/>
    </xf>
    <xf numFmtId="2" fontId="0" fillId="5" borderId="34" xfId="0" applyNumberFormat="1" applyFont="1" applyFill="1" applyBorder="1" applyAlignment="1">
      <alignment horizontal="center" vertical="center"/>
    </xf>
    <xf numFmtId="0" fontId="33" fillId="0" borderId="0" xfId="0" applyFont="1" applyAlignment="1">
      <alignment vertical="center"/>
    </xf>
    <xf numFmtId="0" fontId="34" fillId="5" borderId="8" xfId="0" applyFont="1" applyFill="1" applyBorder="1" applyAlignment="1">
      <alignment horizontal="center" vertical="center"/>
    </xf>
    <xf numFmtId="0" fontId="34" fillId="5" borderId="14" xfId="0" applyFont="1" applyFill="1" applyBorder="1" applyAlignment="1">
      <alignment horizontal="center" vertical="center"/>
    </xf>
    <xf numFmtId="49" fontId="19" fillId="4" borderId="50" xfId="0" applyNumberFormat="1" applyFont="1" applyFill="1" applyBorder="1" applyAlignment="1">
      <alignment horizontal="center" vertical="center"/>
    </xf>
    <xf numFmtId="0" fontId="20" fillId="4" borderId="47" xfId="0" applyFont="1" applyFill="1" applyBorder="1" applyAlignment="1">
      <alignment vertical="center" wrapText="1"/>
    </xf>
    <xf numFmtId="0" fontId="19" fillId="4" borderId="38" xfId="0" applyFont="1" applyFill="1" applyBorder="1" applyAlignment="1">
      <alignment horizontal="center" vertical="center"/>
    </xf>
    <xf numFmtId="49" fontId="20" fillId="0" borderId="51" xfId="0" applyNumberFormat="1" applyFont="1" applyBorder="1" applyAlignment="1">
      <alignment horizontal="center" vertical="center"/>
    </xf>
    <xf numFmtId="166" fontId="20" fillId="0" borderId="11" xfId="0" applyNumberFormat="1" applyFont="1" applyBorder="1" applyAlignment="1">
      <alignment horizontal="center" vertical="center" wrapText="1"/>
    </xf>
    <xf numFmtId="0" fontId="20" fillId="0" borderId="37" xfId="0" applyFont="1" applyBorder="1" applyAlignment="1">
      <alignment horizontal="center" vertical="center"/>
    </xf>
    <xf numFmtId="0" fontId="19" fillId="4" borderId="11" xfId="0" applyFont="1" applyFill="1" applyBorder="1" applyAlignment="1">
      <alignment vertical="center" wrapText="1"/>
    </xf>
    <xf numFmtId="0" fontId="20" fillId="4" borderId="11" xfId="0" applyFont="1" applyFill="1" applyBorder="1" applyAlignment="1">
      <alignment vertical="center" wrapText="1"/>
    </xf>
    <xf numFmtId="166" fontId="19" fillId="4" borderId="11" xfId="0" applyNumberFormat="1" applyFont="1" applyFill="1" applyBorder="1" applyAlignment="1">
      <alignment horizontal="center" vertical="center" wrapText="1"/>
    </xf>
    <xf numFmtId="0" fontId="19" fillId="4" borderId="37" xfId="0" applyFont="1" applyFill="1" applyBorder="1" applyAlignment="1">
      <alignment horizontal="center" vertical="center"/>
    </xf>
    <xf numFmtId="0" fontId="20" fillId="0" borderId="11" xfId="0" applyFont="1" applyBorder="1" applyAlignment="1">
      <alignment vertical="center" wrapText="1"/>
    </xf>
    <xf numFmtId="0" fontId="19" fillId="4" borderId="51" xfId="0" applyNumberFormat="1" applyFont="1" applyFill="1" applyBorder="1" applyAlignment="1">
      <alignment horizontal="center" vertical="center"/>
    </xf>
    <xf numFmtId="0" fontId="20" fillId="0" borderId="11" xfId="0" applyFont="1" applyBorder="1" applyAlignment="1">
      <alignment horizontal="left" vertical="center" wrapText="1"/>
    </xf>
    <xf numFmtId="49" fontId="20" fillId="0" borderId="49" xfId="0" applyNumberFormat="1" applyFont="1" applyBorder="1" applyAlignment="1">
      <alignment horizontal="center" vertical="center"/>
    </xf>
    <xf numFmtId="0" fontId="20" fillId="0" borderId="48" xfId="0" applyFont="1" applyBorder="1" applyAlignment="1">
      <alignment vertical="center" wrapText="1"/>
    </xf>
    <xf numFmtId="166" fontId="20" fillId="0" borderId="48" xfId="0" applyNumberFormat="1" applyFont="1" applyBorder="1" applyAlignment="1">
      <alignment horizontal="center" vertical="center" wrapText="1"/>
    </xf>
    <xf numFmtId="0" fontId="20" fillId="0" borderId="46" xfId="0" applyFont="1" applyBorder="1" applyAlignment="1">
      <alignment horizontal="center" vertical="center"/>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0" fontId="38" fillId="5" borderId="17" xfId="0" applyFont="1" applyFill="1" applyBorder="1" applyAlignment="1">
      <alignment horizontal="center" vertical="center"/>
    </xf>
    <xf numFmtId="0" fontId="38" fillId="5" borderId="1"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1" xfId="0" applyFont="1" applyFill="1" applyBorder="1" applyAlignment="1">
      <alignment horizontal="center" vertical="center" wrapText="1"/>
    </xf>
    <xf numFmtId="0" fontId="38" fillId="6" borderId="17" xfId="0" applyFont="1" applyFill="1" applyBorder="1" applyAlignment="1">
      <alignment horizontal="center" vertical="center"/>
    </xf>
    <xf numFmtId="0" fontId="38" fillId="6" borderId="1" xfId="0" applyFont="1" applyFill="1" applyBorder="1" applyAlignment="1">
      <alignment vertical="center" wrapText="1"/>
    </xf>
    <xf numFmtId="0" fontId="38" fillId="6" borderId="8" xfId="0" applyFont="1" applyFill="1" applyBorder="1" applyAlignment="1">
      <alignment horizontal="center" vertical="center"/>
    </xf>
    <xf numFmtId="0" fontId="38" fillId="6" borderId="1" xfId="0" applyFont="1" applyFill="1" applyBorder="1" applyAlignment="1">
      <alignment horizontal="center" vertical="center"/>
    </xf>
    <xf numFmtId="0" fontId="39" fillId="0" borderId="0" xfId="0" applyFont="1" applyFill="1" applyAlignment="1">
      <alignment horizontal="right"/>
    </xf>
    <xf numFmtId="0" fontId="43" fillId="0" borderId="0" xfId="0" applyFont="1"/>
    <xf numFmtId="0" fontId="0" fillId="0" borderId="0" xfId="0" applyFill="1" applyAlignment="1">
      <alignment vertical="center"/>
    </xf>
    <xf numFmtId="0" fontId="10" fillId="0" borderId="0" xfId="0" applyFont="1" applyFill="1" applyAlignment="1">
      <alignment vertical="center"/>
    </xf>
    <xf numFmtId="0" fontId="42" fillId="0" borderId="0" xfId="0" applyFont="1" applyAlignment="1">
      <alignment vertical="center"/>
    </xf>
    <xf numFmtId="0" fontId="0" fillId="0" borderId="0" xfId="0" applyAlignment="1">
      <alignment vertical="center"/>
    </xf>
    <xf numFmtId="0" fontId="44" fillId="0" borderId="0" xfId="1" applyFont="1" applyAlignment="1">
      <alignment vertical="center"/>
    </xf>
    <xf numFmtId="0" fontId="41" fillId="0" borderId="0" xfId="1" applyFont="1" applyAlignment="1">
      <alignment vertical="center"/>
    </xf>
    <xf numFmtId="0" fontId="40" fillId="0" borderId="0" xfId="0" applyFont="1" applyAlignment="1">
      <alignment vertical="center"/>
    </xf>
    <xf numFmtId="2" fontId="9" fillId="7" borderId="36"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9" fontId="15" fillId="5" borderId="34" xfId="0" applyNumberFormat="1" applyFont="1" applyFill="1" applyBorder="1" applyAlignment="1">
      <alignment horizontal="left" vertical="center" wrapText="1"/>
    </xf>
    <xf numFmtId="9" fontId="15" fillId="5" borderId="1" xfId="0" applyNumberFormat="1" applyFont="1" applyFill="1" applyBorder="1" applyAlignment="1">
      <alignment horizontal="center" vertical="center"/>
    </xf>
    <xf numFmtId="9" fontId="15" fillId="4" borderId="1" xfId="0" applyNumberFormat="1" applyFont="1" applyFill="1" applyBorder="1" applyAlignment="1">
      <alignment horizontal="center" vertical="center"/>
    </xf>
    <xf numFmtId="49" fontId="15" fillId="5" borderId="11" xfId="0" applyNumberFormat="1" applyFont="1" applyFill="1" applyBorder="1" applyAlignment="1">
      <alignment horizontal="left" vertical="center" wrapText="1"/>
    </xf>
    <xf numFmtId="49" fontId="15" fillId="5" borderId="48" xfId="0" applyNumberFormat="1" applyFont="1" applyFill="1" applyBorder="1" applyAlignment="1">
      <alignment horizontal="left" vertical="center" wrapText="1"/>
    </xf>
    <xf numFmtId="0" fontId="19" fillId="4" borderId="47" xfId="0" applyFont="1" applyFill="1" applyBorder="1" applyAlignment="1">
      <alignment vertical="center" wrapText="1"/>
    </xf>
    <xf numFmtId="166" fontId="19" fillId="4" borderId="47" xfId="0" applyNumberFormat="1" applyFont="1" applyFill="1" applyBorder="1" applyAlignment="1">
      <alignment horizontal="center" vertical="center" wrapText="1"/>
    </xf>
    <xf numFmtId="0" fontId="21" fillId="0" borderId="11" xfId="0" applyFont="1" applyBorder="1" applyAlignment="1">
      <alignment vertical="center"/>
    </xf>
    <xf numFmtId="0" fontId="21" fillId="0" borderId="11" xfId="0" applyFont="1" applyBorder="1" applyAlignment="1">
      <alignment vertical="center" wrapText="1"/>
    </xf>
    <xf numFmtId="0" fontId="20" fillId="4" borderId="11"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49" fontId="15" fillId="5" borderId="27" xfId="0" applyNumberFormat="1" applyFont="1" applyFill="1" applyBorder="1" applyAlignment="1">
      <alignment horizontal="center" vertical="center"/>
    </xf>
    <xf numFmtId="49" fontId="15" fillId="5" borderId="34" xfId="0" applyNumberFormat="1" applyFont="1" applyFill="1" applyBorder="1" applyAlignment="1">
      <alignment horizontal="center" vertical="center"/>
    </xf>
    <xf numFmtId="49" fontId="15" fillId="5" borderId="34" xfId="0" applyNumberFormat="1" applyFont="1" applyFill="1" applyBorder="1" applyAlignment="1">
      <alignment horizontal="center" vertical="center" wrapText="1"/>
    </xf>
    <xf numFmtId="9" fontId="15" fillId="5" borderId="34" xfId="0" applyNumberFormat="1" applyFont="1" applyFill="1" applyBorder="1" applyAlignment="1">
      <alignment horizontal="center" vertical="center"/>
    </xf>
    <xf numFmtId="49" fontId="15" fillId="6" borderId="39" xfId="0" applyNumberFormat="1" applyFont="1" applyFill="1" applyBorder="1" applyAlignment="1">
      <alignment horizontal="center" vertical="center"/>
    </xf>
    <xf numFmtId="49" fontId="15" fillId="6" borderId="34" xfId="0" applyNumberFormat="1" applyFont="1" applyFill="1" applyBorder="1" applyAlignment="1">
      <alignment horizontal="center" vertical="center"/>
    </xf>
    <xf numFmtId="49" fontId="15" fillId="6" borderId="43"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2" fontId="0" fillId="0" borderId="8" xfId="0" applyNumberFormat="1" applyFill="1" applyBorder="1" applyAlignment="1">
      <alignment horizontal="center" vertical="center"/>
    </xf>
    <xf numFmtId="49" fontId="15" fillId="4" borderId="1" xfId="0" applyNumberFormat="1" applyFont="1" applyFill="1" applyBorder="1" applyAlignment="1">
      <alignment horizontal="center" vertical="center" wrapText="1"/>
    </xf>
    <xf numFmtId="0" fontId="15" fillId="5" borderId="1" xfId="0" applyNumberFormat="1" applyFont="1" applyFill="1" applyBorder="1" applyAlignment="1">
      <alignment horizontal="left" vertical="center" wrapText="1"/>
    </xf>
    <xf numFmtId="0" fontId="15" fillId="5" borderId="11" xfId="0" applyNumberFormat="1" applyFont="1" applyFill="1" applyBorder="1" applyAlignment="1">
      <alignment horizontal="left" vertical="center" wrapText="1"/>
    </xf>
    <xf numFmtId="9" fontId="15" fillId="5" borderId="1" xfId="0" applyNumberFormat="1" applyFont="1" applyFill="1" applyBorder="1" applyAlignment="1">
      <alignment horizontal="center" vertical="center" wrapText="1"/>
    </xf>
    <xf numFmtId="49" fontId="15" fillId="5" borderId="28" xfId="0" applyNumberFormat="1" applyFont="1" applyFill="1" applyBorder="1" applyAlignment="1">
      <alignment horizontal="left" vertical="center" wrapText="1"/>
    </xf>
    <xf numFmtId="2" fontId="0" fillId="5" borderId="8" xfId="0" applyNumberFormat="1" applyFill="1" applyBorder="1" applyAlignment="1">
      <alignment horizontal="center" vertical="center"/>
    </xf>
    <xf numFmtId="2" fontId="0" fillId="5" borderId="1" xfId="0" applyNumberFormat="1" applyFill="1" applyBorder="1" applyAlignment="1">
      <alignment horizontal="center" vertical="center"/>
    </xf>
    <xf numFmtId="2" fontId="0" fillId="5" borderId="30" xfId="0" applyNumberFormat="1" applyFill="1" applyBorder="1" applyAlignment="1">
      <alignment horizontal="center" vertical="center"/>
    </xf>
    <xf numFmtId="2" fontId="0" fillId="0" borderId="1" xfId="0" applyNumberFormat="1" applyBorder="1" applyAlignment="1">
      <alignment horizontal="center" vertical="center"/>
    </xf>
    <xf numFmtId="2" fontId="0" fillId="0" borderId="30" xfId="0" applyNumberFormat="1" applyBorder="1" applyAlignment="1">
      <alignment horizontal="center" vertical="center"/>
    </xf>
    <xf numFmtId="9" fontId="15" fillId="5" borderId="1" xfId="0" applyNumberFormat="1" applyFont="1" applyFill="1" applyBorder="1" applyAlignment="1">
      <alignment horizontal="center" vertical="center"/>
    </xf>
    <xf numFmtId="49" fontId="15" fillId="5" borderId="46" xfId="0" applyNumberFormat="1" applyFont="1" applyFill="1" applyBorder="1" applyAlignment="1">
      <alignment horizontal="left" vertical="center" wrapText="1"/>
    </xf>
    <xf numFmtId="9" fontId="46" fillId="5" borderId="1" xfId="0" applyNumberFormat="1" applyFont="1" applyFill="1" applyBorder="1" applyAlignment="1">
      <alignment horizontal="center" vertical="center"/>
    </xf>
    <xf numFmtId="49" fontId="15" fillId="5" borderId="37" xfId="0" applyNumberFormat="1" applyFont="1" applyFill="1" applyBorder="1" applyAlignment="1">
      <alignment horizontal="left" vertical="center" wrapText="1"/>
    </xf>
    <xf numFmtId="0" fontId="41" fillId="0" borderId="0" xfId="1" applyFont="1" applyAlignment="1">
      <alignment horizontal="left" vertical="center"/>
    </xf>
    <xf numFmtId="0" fontId="40" fillId="0" borderId="0" xfId="0" applyFont="1" applyAlignment="1">
      <alignment horizontal="left" vertical="center"/>
    </xf>
    <xf numFmtId="2" fontId="0" fillId="0" borderId="1" xfId="0" applyNumberFormat="1" applyFill="1" applyBorder="1" applyAlignment="1">
      <alignment horizontal="center" vertical="center"/>
    </xf>
    <xf numFmtId="49" fontId="15" fillId="5" borderId="1"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9" fontId="15" fillId="5" borderId="45" xfId="0" applyNumberFormat="1" applyFont="1" applyFill="1" applyBorder="1" applyAlignment="1">
      <alignment horizontal="left" vertical="center" wrapText="1"/>
    </xf>
    <xf numFmtId="4" fontId="0" fillId="7" borderId="37" xfId="0" applyNumberFormat="1" applyFill="1" applyBorder="1" applyAlignment="1">
      <alignment horizontal="center" vertical="center"/>
    </xf>
    <xf numFmtId="4" fontId="0" fillId="7" borderId="33" xfId="0" applyNumberFormat="1" applyFill="1" applyBorder="1" applyAlignment="1">
      <alignment horizontal="center" vertical="center"/>
    </xf>
    <xf numFmtId="4" fontId="0" fillId="7" borderId="37" xfId="0" applyNumberFormat="1" applyFont="1" applyFill="1" applyBorder="1" applyAlignment="1">
      <alignment horizontal="center" vertical="center"/>
    </xf>
    <xf numFmtId="4" fontId="22" fillId="7" borderId="46" xfId="0" applyNumberFormat="1" applyFont="1" applyFill="1" applyBorder="1" applyAlignment="1">
      <alignment horizontal="center" vertical="center"/>
    </xf>
    <xf numFmtId="4" fontId="9" fillId="7" borderId="36" xfId="0" applyNumberFormat="1" applyFont="1" applyFill="1" applyBorder="1" applyAlignment="1">
      <alignment horizontal="center" vertical="center"/>
    </xf>
    <xf numFmtId="4" fontId="0" fillId="7" borderId="33" xfId="0" applyNumberFormat="1" applyFont="1" applyFill="1" applyBorder="1" applyAlignment="1">
      <alignment horizontal="center" vertical="center"/>
    </xf>
    <xf numFmtId="4" fontId="0" fillId="0" borderId="0" xfId="0" applyNumberFormat="1" applyAlignment="1">
      <alignment horizontal="center" vertical="center"/>
    </xf>
    <xf numFmtId="4" fontId="0" fillId="0" borderId="33" xfId="0" applyNumberFormat="1" applyBorder="1" applyAlignment="1">
      <alignment vertical="center"/>
    </xf>
    <xf numFmtId="4" fontId="0" fillId="5" borderId="30" xfId="0" applyNumberFormat="1" applyFill="1" applyBorder="1"/>
    <xf numFmtId="4" fontId="9" fillId="7" borderId="36" xfId="0" applyNumberFormat="1" applyFont="1" applyFill="1" applyBorder="1" applyAlignment="1">
      <alignment vertical="center"/>
    </xf>
    <xf numFmtId="0" fontId="42" fillId="0" borderId="0" xfId="0" applyFont="1" applyAlignment="1">
      <alignment horizontal="left" wrapText="1"/>
    </xf>
    <xf numFmtId="49" fontId="15" fillId="5" borderId="2" xfId="0" applyNumberFormat="1" applyFont="1" applyFill="1" applyBorder="1" applyAlignment="1">
      <alignment horizontal="left" vertical="center" wrapText="1"/>
    </xf>
    <xf numFmtId="0" fontId="42" fillId="0" borderId="0" xfId="0" applyFont="1" applyFill="1" applyAlignment="1"/>
    <xf numFmtId="0" fontId="20" fillId="0" borderId="0" xfId="0" applyFont="1"/>
    <xf numFmtId="14" fontId="20" fillId="0" borderId="0" xfId="0" applyNumberFormat="1" applyFont="1"/>
    <xf numFmtId="14" fontId="42" fillId="0" borderId="0" xfId="0" applyNumberFormat="1" applyFont="1" applyFill="1" applyBorder="1" applyAlignment="1">
      <alignment vertical="center"/>
    </xf>
    <xf numFmtId="49" fontId="15" fillId="5" borderId="14" xfId="0" applyNumberFormat="1" applyFont="1" applyFill="1" applyBorder="1" applyAlignment="1">
      <alignment horizontal="left" vertical="center" wrapText="1"/>
    </xf>
    <xf numFmtId="49" fontId="15" fillId="5" borderId="26" xfId="0" applyNumberFormat="1" applyFont="1" applyFill="1" applyBorder="1" applyAlignment="1">
      <alignment horizontal="left" vertical="center" wrapText="1"/>
    </xf>
    <xf numFmtId="2" fontId="0" fillId="5" borderId="1" xfId="0" applyNumberFormat="1" applyFill="1" applyBorder="1" applyAlignment="1">
      <alignment horizontal="center" vertical="center"/>
    </xf>
    <xf numFmtId="2" fontId="9" fillId="5" borderId="27" xfId="0" applyNumberFormat="1" applyFont="1" applyFill="1" applyBorder="1" applyAlignment="1">
      <alignment horizontal="center" vertical="center"/>
    </xf>
    <xf numFmtId="2" fontId="9" fillId="5" borderId="34" xfId="0" applyNumberFormat="1" applyFont="1" applyFill="1" applyBorder="1" applyAlignment="1">
      <alignment horizontal="center" vertical="center"/>
    </xf>
    <xf numFmtId="2" fontId="9" fillId="5" borderId="35" xfId="0" applyNumberFormat="1" applyFont="1"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42" fillId="0" borderId="0" xfId="0" applyFont="1" applyFill="1" applyAlignment="1">
      <alignment vertical="center"/>
    </xf>
    <xf numFmtId="0" fontId="42" fillId="0" borderId="6" xfId="0" applyFont="1" applyFill="1" applyBorder="1" applyAlignment="1">
      <alignment vertical="center"/>
    </xf>
    <xf numFmtId="0" fontId="42" fillId="0" borderId="0" xfId="0" applyFont="1" applyFill="1" applyBorder="1" applyAlignment="1">
      <alignment vertical="center"/>
    </xf>
    <xf numFmtId="14" fontId="42" fillId="0" borderId="0" xfId="0" applyNumberFormat="1" applyFont="1" applyFill="1" applyAlignment="1">
      <alignment vertical="center"/>
    </xf>
    <xf numFmtId="14" fontId="20" fillId="0" borderId="0" xfId="0" applyNumberFormat="1" applyFont="1" applyFill="1" applyAlignment="1">
      <alignment vertical="center"/>
    </xf>
    <xf numFmtId="0" fontId="20" fillId="0" borderId="0" xfId="0" applyFont="1" applyFill="1" applyAlignment="1">
      <alignment vertical="center"/>
    </xf>
    <xf numFmtId="0" fontId="20" fillId="0" borderId="0" xfId="0" applyFont="1" applyAlignment="1"/>
    <xf numFmtId="0" fontId="42" fillId="0" borderId="0" xfId="0" applyFont="1" applyAlignment="1"/>
    <xf numFmtId="49" fontId="15" fillId="5" borderId="30" xfId="0" applyNumberFormat="1" applyFont="1" applyFill="1" applyBorder="1" applyAlignment="1">
      <alignment horizontal="left" vertical="center" wrapText="1"/>
    </xf>
    <xf numFmtId="49" fontId="15" fillId="5" borderId="35" xfId="0" applyNumberFormat="1" applyFont="1" applyFill="1" applyBorder="1" applyAlignment="1">
      <alignment horizontal="left" vertical="center" wrapText="1"/>
    </xf>
    <xf numFmtId="14" fontId="0" fillId="0" borderId="0" xfId="0" applyNumberFormat="1" applyFill="1" applyAlignment="1">
      <alignment horizontal="left"/>
    </xf>
    <xf numFmtId="49" fontId="38" fillId="5" borderId="1" xfId="0" applyNumberFormat="1" applyFont="1" applyFill="1" applyBorder="1" applyAlignment="1">
      <alignment horizontal="center" vertical="center" wrapText="1"/>
    </xf>
    <xf numFmtId="49" fontId="38" fillId="5" borderId="30" xfId="0" applyNumberFormat="1" applyFont="1" applyFill="1" applyBorder="1" applyAlignment="1">
      <alignment horizontal="left" vertical="center" wrapText="1"/>
    </xf>
    <xf numFmtId="0" fontId="2" fillId="2" borderId="9" xfId="0" applyFont="1" applyFill="1" applyBorder="1" applyAlignment="1">
      <alignment horizontal="left" vertical="center" wrapText="1" indent="5"/>
    </xf>
    <xf numFmtId="0" fontId="2" fillId="2" borderId="10" xfId="0" applyFont="1" applyFill="1" applyBorder="1" applyAlignment="1">
      <alignment horizontal="left" vertical="center" wrapText="1" indent="5"/>
    </xf>
    <xf numFmtId="0" fontId="6" fillId="3" borderId="21"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8"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29" fillId="5" borderId="27" xfId="0" applyFont="1" applyFill="1" applyBorder="1" applyAlignment="1">
      <alignment horizontal="left" vertical="center"/>
    </xf>
    <xf numFmtId="0" fontId="0" fillId="5" borderId="34" xfId="0" applyFill="1" applyBorder="1" applyAlignment="1">
      <alignment horizontal="left" vertical="center"/>
    </xf>
    <xf numFmtId="0" fontId="0" fillId="5" borderId="35" xfId="0" applyFill="1" applyBorder="1" applyAlignment="1">
      <alignment horizontal="left" vertic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32" xfId="0" applyFill="1" applyBorder="1" applyAlignment="1">
      <alignment horizontal="center"/>
    </xf>
    <xf numFmtId="0" fontId="0" fillId="5" borderId="29" xfId="0" applyFill="1" applyBorder="1" applyAlignment="1">
      <alignment horizontal="center"/>
    </xf>
    <xf numFmtId="0" fontId="11" fillId="5" borderId="44" xfId="0" applyFont="1" applyFill="1" applyBorder="1" applyAlignment="1">
      <alignment horizontal="center"/>
    </xf>
    <xf numFmtId="0" fontId="11" fillId="5" borderId="25" xfId="0" applyFont="1" applyFill="1" applyBorder="1" applyAlignment="1">
      <alignment horizontal="center"/>
    </xf>
    <xf numFmtId="0" fontId="11" fillId="5" borderId="29" xfId="0" applyFont="1" applyFill="1" applyBorder="1" applyAlignment="1">
      <alignment horizontal="center"/>
    </xf>
    <xf numFmtId="0" fontId="15" fillId="6" borderId="1"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0" fillId="6" borderId="24" xfId="0" applyFill="1" applyBorder="1" applyAlignment="1">
      <alignment horizontal="center"/>
    </xf>
    <xf numFmtId="0" fontId="0" fillId="6" borderId="25" xfId="0" applyFill="1" applyBorder="1" applyAlignment="1">
      <alignment horizontal="center"/>
    </xf>
    <xf numFmtId="0" fontId="0" fillId="6" borderId="29" xfId="0" applyFill="1" applyBorder="1" applyAlignment="1">
      <alignment horizontal="center"/>
    </xf>
    <xf numFmtId="0" fontId="30" fillId="6" borderId="49" xfId="0" applyFont="1" applyFill="1" applyBorder="1" applyAlignment="1">
      <alignment horizontal="left" vertical="center"/>
    </xf>
    <xf numFmtId="0" fontId="11" fillId="6" borderId="48" xfId="0" applyFont="1" applyFill="1" applyBorder="1" applyAlignment="1">
      <alignment horizontal="left" vertical="center"/>
    </xf>
    <xf numFmtId="0" fontId="11" fillId="6" borderId="46" xfId="0" applyFont="1" applyFill="1" applyBorder="1" applyAlignment="1">
      <alignment horizontal="left" vertical="center"/>
    </xf>
    <xf numFmtId="0" fontId="11" fillId="6" borderId="44" xfId="0" applyFont="1" applyFill="1" applyBorder="1" applyAlignment="1">
      <alignment horizontal="center"/>
    </xf>
    <xf numFmtId="0" fontId="11" fillId="6" borderId="25" xfId="0" applyFont="1" applyFill="1" applyBorder="1" applyAlignment="1">
      <alignment horizontal="center"/>
    </xf>
    <xf numFmtId="0" fontId="11" fillId="6" borderId="32" xfId="0" applyFont="1" applyFill="1" applyBorder="1" applyAlignment="1">
      <alignment horizontal="center"/>
    </xf>
    <xf numFmtId="0" fontId="15" fillId="6" borderId="14"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34" xfId="0" applyFont="1" applyFill="1" applyBorder="1" applyAlignment="1">
      <alignment horizontal="center" vertical="center" wrapText="1"/>
    </xf>
    <xf numFmtId="0" fontId="37" fillId="6" borderId="50" xfId="0" applyFont="1" applyFill="1" applyBorder="1" applyAlignment="1">
      <alignment horizontal="center" vertical="center"/>
    </xf>
    <xf numFmtId="0" fontId="37" fillId="6" borderId="44" xfId="0" applyFont="1" applyFill="1" applyBorder="1" applyAlignment="1">
      <alignment horizontal="center" vertical="center"/>
    </xf>
    <xf numFmtId="0" fontId="38" fillId="6" borderId="17" xfId="0" applyFont="1" applyFill="1" applyBorder="1" applyAlignment="1">
      <alignment horizontal="center" vertical="center" wrapText="1"/>
    </xf>
    <xf numFmtId="0" fontId="38" fillId="6" borderId="39"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27"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8" fillId="5" borderId="42" xfId="0" applyFont="1" applyFill="1" applyBorder="1" applyAlignment="1">
      <alignment horizontal="center" vertical="center" wrapText="1"/>
    </xf>
    <xf numFmtId="0" fontId="38" fillId="5" borderId="30"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38" fillId="6" borderId="26"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43" xfId="0" applyFont="1" applyFill="1" applyBorder="1" applyAlignment="1">
      <alignment horizontal="center" vertical="center" wrapText="1"/>
    </xf>
    <xf numFmtId="0" fontId="37" fillId="5" borderId="50" xfId="0" applyFont="1" applyFill="1" applyBorder="1" applyAlignment="1">
      <alignment horizontal="center" vertical="center"/>
    </xf>
    <xf numFmtId="0" fontId="37" fillId="5" borderId="44" xfId="0" applyFont="1" applyFill="1" applyBorder="1" applyAlignment="1">
      <alignment horizontal="center" vertical="center"/>
    </xf>
    <xf numFmtId="0" fontId="38"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5" borderId="43"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48" xfId="0" applyFont="1" applyBorder="1" applyAlignment="1">
      <alignment horizontal="center" vertical="center" wrapText="1"/>
    </xf>
    <xf numFmtId="0" fontId="15" fillId="5" borderId="1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20" fillId="0" borderId="5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15" fillId="5" borderId="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7" fillId="8" borderId="0" xfId="0" applyFont="1" applyFill="1" applyBorder="1" applyAlignment="1">
      <alignment horizontal="center" vertical="center" wrapText="1"/>
    </xf>
    <xf numFmtId="0" fontId="7" fillId="8" borderId="0" xfId="0" applyFont="1" applyFill="1" applyBorder="1" applyAlignment="1">
      <alignment horizontal="left" vertical="center" wrapText="1" indent="2"/>
    </xf>
    <xf numFmtId="0" fontId="32" fillId="9" borderId="0" xfId="0" applyFont="1" applyFill="1" applyBorder="1" applyAlignment="1">
      <alignment horizontal="left" vertical="center" wrapText="1" indent="2"/>
    </xf>
    <xf numFmtId="0" fontId="32" fillId="0" borderId="0" xfId="0" applyFont="1" applyAlignment="1">
      <alignment horizontal="left" vertical="center" wrapText="1" indent="2"/>
    </xf>
    <xf numFmtId="0" fontId="4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0" fillId="0" borderId="0" xfId="0" applyFont="1" applyFill="1" applyAlignment="1">
      <alignment horizontal="center"/>
    </xf>
    <xf numFmtId="0" fontId="48"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Alignment="1">
      <alignment horizontal="left" vertical="center" wrapText="1"/>
    </xf>
    <xf numFmtId="0" fontId="20" fillId="0" borderId="0" xfId="0" applyFont="1" applyFill="1" applyAlignment="1">
      <alignment horizontal="left" wrapText="1"/>
    </xf>
    <xf numFmtId="0" fontId="20" fillId="0" borderId="0" xfId="0" applyFont="1" applyFill="1" applyAlignment="1">
      <alignment horizontal="left" vertical="top" wrapText="1"/>
    </xf>
    <xf numFmtId="0" fontId="20" fillId="0" borderId="0" xfId="0" applyFont="1" applyFill="1" applyAlignment="1">
      <alignment horizontal="left"/>
    </xf>
    <xf numFmtId="0" fontId="4" fillId="9" borderId="6" xfId="0" applyFont="1" applyFill="1" applyBorder="1" applyAlignment="1">
      <alignment horizontal="left" vertical="center" indent="2"/>
    </xf>
    <xf numFmtId="0" fontId="4" fillId="9" borderId="0" xfId="0" applyFont="1" applyFill="1" applyBorder="1" applyAlignment="1">
      <alignment horizontal="left" vertical="center" indent="2"/>
    </xf>
    <xf numFmtId="0" fontId="4" fillId="3" borderId="6" xfId="0" applyFont="1" applyFill="1" applyBorder="1" applyAlignment="1">
      <alignment horizontal="left" vertical="center" wrapText="1" indent="2"/>
    </xf>
    <xf numFmtId="0" fontId="4" fillId="3" borderId="0" xfId="0" applyFont="1" applyFill="1" applyBorder="1" applyAlignment="1">
      <alignment horizontal="left" vertical="center" wrapText="1" indent="2"/>
    </xf>
    <xf numFmtId="0" fontId="23" fillId="0" borderId="0" xfId="0" applyFont="1" applyAlignment="1">
      <alignment horizontal="left"/>
    </xf>
    <xf numFmtId="0" fontId="26"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26" fillId="0" borderId="5" xfId="0" applyFont="1" applyBorder="1" applyAlignment="1">
      <alignment horizontal="center" vertical="center"/>
    </xf>
    <xf numFmtId="0" fontId="31" fillId="0" borderId="0" xfId="0" applyFont="1" applyAlignment="1">
      <alignment horizontal="left"/>
    </xf>
    <xf numFmtId="0" fontId="26"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106679</xdr:rowOff>
    </xdr:from>
    <xdr:to>
      <xdr:col>0</xdr:col>
      <xdr:colOff>1093818</xdr:colOff>
      <xdr:row>18</xdr:row>
      <xdr:rowOff>170039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3375659"/>
          <a:ext cx="109381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0</xdr:row>
      <xdr:rowOff>154782</xdr:rowOff>
    </xdr:from>
    <xdr:to>
      <xdr:col>1</xdr:col>
      <xdr:colOff>1114762</xdr:colOff>
      <xdr:row>2</xdr:row>
      <xdr:rowOff>250315</xdr:rowOff>
    </xdr:to>
    <xdr:pic>
      <xdr:nvPicPr>
        <xdr:cNvPr id="6" name="Picture 5">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435504" y="154782"/>
          <a:ext cx="1043325"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1022334</xdr:colOff>
      <xdr:row>2</xdr:row>
      <xdr:rowOff>154800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022334"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1127760</xdr:colOff>
      <xdr:row>2</xdr:row>
      <xdr:rowOff>139560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1127760"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0</xdr:rowOff>
    </xdr:from>
    <xdr:to>
      <xdr:col>1</xdr:col>
      <xdr:colOff>584553</xdr:colOff>
      <xdr:row>2</xdr:row>
      <xdr:rowOff>154800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57151" y="0"/>
          <a:ext cx="1079852" cy="6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A23" sqref="A23"/>
    </sheetView>
  </sheetViews>
  <sheetFormatPr defaultColWidth="8.88671875" defaultRowHeight="14.4" x14ac:dyDescent="0.3"/>
  <cols>
    <col min="1" max="1" width="53" customWidth="1"/>
    <col min="2" max="2" width="93.109375" customWidth="1"/>
  </cols>
  <sheetData>
    <row r="1" spans="1:2" ht="15" thickBot="1" x14ac:dyDescent="0.35">
      <c r="A1" s="247" t="s">
        <v>36</v>
      </c>
      <c r="B1" s="248"/>
    </row>
    <row r="2" spans="1:2" x14ac:dyDescent="0.3">
      <c r="A2" s="254" t="s">
        <v>28</v>
      </c>
      <c r="B2" s="249" t="s">
        <v>93</v>
      </c>
    </row>
    <row r="3" spans="1:2" ht="15" thickBot="1" x14ac:dyDescent="0.35">
      <c r="A3" s="255"/>
      <c r="B3" s="250"/>
    </row>
    <row r="4" spans="1:2" ht="15" thickBot="1" x14ac:dyDescent="0.35">
      <c r="A4" s="13" t="s">
        <v>29</v>
      </c>
      <c r="B4" s="78" t="s">
        <v>90</v>
      </c>
    </row>
    <row r="5" spans="1:2" ht="15" thickBot="1" x14ac:dyDescent="0.35">
      <c r="A5" s="13" t="s">
        <v>30</v>
      </c>
      <c r="B5" s="78" t="s">
        <v>91</v>
      </c>
    </row>
    <row r="6" spans="1:2" ht="15" thickBot="1" x14ac:dyDescent="0.35">
      <c r="A6" s="32" t="s">
        <v>31</v>
      </c>
      <c r="B6" s="78" t="s">
        <v>63</v>
      </c>
    </row>
    <row r="7" spans="1:2" x14ac:dyDescent="0.3">
      <c r="A7" s="254" t="s">
        <v>32</v>
      </c>
      <c r="B7" s="251" t="s">
        <v>92</v>
      </c>
    </row>
    <row r="8" spans="1:2" x14ac:dyDescent="0.3">
      <c r="A8" s="256"/>
      <c r="B8" s="252"/>
    </row>
    <row r="9" spans="1:2" ht="20.399999999999999" customHeight="1" thickBot="1" x14ac:dyDescent="0.35">
      <c r="A9" s="255"/>
      <c r="B9" s="253"/>
    </row>
    <row r="10" spans="1:2" ht="15" thickBot="1" x14ac:dyDescent="0.35">
      <c r="A10" s="14" t="s">
        <v>33</v>
      </c>
      <c r="B10" s="79">
        <v>44530</v>
      </c>
    </row>
    <row r="11" spans="1:2" ht="15" thickBot="1" x14ac:dyDescent="0.35">
      <c r="A11" s="13" t="s">
        <v>37</v>
      </c>
      <c r="B11" s="80">
        <v>44409</v>
      </c>
    </row>
    <row r="12" spans="1:2" ht="15" thickBot="1" x14ac:dyDescent="0.35">
      <c r="A12" s="13" t="s">
        <v>38</v>
      </c>
      <c r="B12" s="80">
        <v>44500</v>
      </c>
    </row>
    <row r="13" spans="1:2" ht="29.4" thickBot="1" x14ac:dyDescent="0.35">
      <c r="A13" s="4" t="s">
        <v>34</v>
      </c>
      <c r="B13" s="78"/>
    </row>
    <row r="14" spans="1:2" ht="15" thickBot="1" x14ac:dyDescent="0.35">
      <c r="A14" s="4" t="s">
        <v>46</v>
      </c>
      <c r="B14" s="81">
        <f>'Kogu projekti eelarve'!F20</f>
        <v>84968.382000000012</v>
      </c>
    </row>
    <row r="15" spans="1:2" ht="29.4" thickBot="1" x14ac:dyDescent="0.35">
      <c r="A15" s="4" t="s">
        <v>35</v>
      </c>
      <c r="B15" s="82">
        <f>'Kogu projekti eelarve'!C20+'Kogu projekti eelarve'!D20+'Kogu projekti eelarve'!E20+'Kogu projekti eelarve'!F20+'Kogu projekti eelarve'!I20+'Kogu projekti eelarve'!J20</f>
        <v>253851.15380000003</v>
      </c>
    </row>
  </sheetData>
  <mergeCells count="5">
    <mergeCell ref="A1:B1"/>
    <mergeCell ref="B2:B3"/>
    <mergeCell ref="B7:B9"/>
    <mergeCell ref="A2:A3"/>
    <mergeCell ref="A7:A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topLeftCell="E1" zoomScale="80" zoomScaleNormal="80" workbookViewId="0">
      <selection activeCell="AK18" sqref="AK18"/>
    </sheetView>
  </sheetViews>
  <sheetFormatPr defaultColWidth="8.88671875" defaultRowHeight="14.4" outlineLevelCol="1" x14ac:dyDescent="0.3"/>
  <cols>
    <col min="1" max="1" width="5.33203125" style="23" customWidth="1"/>
    <col min="2" max="2" width="47.6640625" style="27" customWidth="1"/>
    <col min="3" max="3" width="15.6640625" style="27" customWidth="1"/>
    <col min="4" max="4" width="14.5546875" style="27" customWidth="1"/>
    <col min="5" max="5" width="14" style="27" customWidth="1"/>
    <col min="6" max="6" width="12" style="16" bestFit="1" customWidth="1"/>
    <col min="7" max="7" width="8.5546875" style="16" customWidth="1"/>
    <col min="8" max="8" width="8.44140625" style="16" hidden="1" customWidth="1" outlineLevel="1"/>
    <col min="9" max="9" width="20" style="16" hidden="1" customWidth="1" outlineLevel="1"/>
    <col min="10" max="10" width="51.33203125" style="16" hidden="1" customWidth="1" outlineLevel="1"/>
    <col min="11" max="11" width="14.5546875" style="16" hidden="1" customWidth="1" outlineLevel="1"/>
    <col min="12" max="12" width="15.44140625" style="16" hidden="1" customWidth="1" outlineLevel="1"/>
    <col min="13" max="13" width="15.33203125" style="16" hidden="1" customWidth="1" outlineLevel="1"/>
    <col min="14" max="14" width="37.33203125" style="16" hidden="1" customWidth="1" outlineLevel="1"/>
    <col min="15" max="15" width="8.88671875" style="19" customWidth="1" collapsed="1"/>
    <col min="16" max="16" width="9.109375" style="16" hidden="1" customWidth="1" outlineLevel="1"/>
    <col min="17" max="17" width="20.33203125" style="16" hidden="1" customWidth="1" outlineLevel="1"/>
    <col min="18" max="18" width="49" style="16" hidden="1" customWidth="1" outlineLevel="1"/>
    <col min="19" max="19" width="16.44140625" style="16" hidden="1" customWidth="1" outlineLevel="1"/>
    <col min="20" max="20" width="17.88671875" style="16" hidden="1" customWidth="1" outlineLevel="1"/>
    <col min="21" max="21" width="15.6640625" style="16" hidden="1" customWidth="1" outlineLevel="1"/>
    <col min="22" max="22" width="36.88671875" style="16" hidden="1" customWidth="1" outlineLevel="1"/>
    <col min="23" max="23" width="9.109375" style="20" customWidth="1" collapsed="1"/>
    <col min="24" max="24" width="7.44140625" style="16" hidden="1" customWidth="1" outlineLevel="1"/>
    <col min="25" max="25" width="19.6640625" style="16" hidden="1" customWidth="1" outlineLevel="1"/>
    <col min="26" max="26" width="49" style="16" hidden="1" customWidth="1" outlineLevel="1"/>
    <col min="27" max="27" width="16.44140625" style="16" hidden="1" customWidth="1" outlineLevel="1"/>
    <col min="28" max="28" width="17.88671875" style="16" hidden="1" customWidth="1" outlineLevel="1"/>
    <col min="29" max="29" width="12.44140625" style="16" hidden="1" customWidth="1" outlineLevel="1"/>
    <col min="30" max="30" width="33.44140625" style="16" hidden="1" customWidth="1" outlineLevel="1"/>
    <col min="31" max="31" width="9.44140625" style="16" customWidth="1" collapsed="1"/>
    <col min="32" max="32" width="7.44140625" style="16" customWidth="1" outlineLevel="1"/>
    <col min="33" max="33" width="19" style="16" customWidth="1" outlineLevel="1"/>
    <col min="34" max="34" width="56" style="16" customWidth="1" outlineLevel="1"/>
    <col min="35" max="35" width="15.6640625" style="16" customWidth="1" outlineLevel="1"/>
    <col min="36" max="36" width="16.6640625" style="16" customWidth="1" outlineLevel="1"/>
    <col min="37" max="37" width="17.33203125" style="16" customWidth="1" outlineLevel="1"/>
    <col min="38" max="38" width="35.33203125" style="16" customWidth="1" outlineLevel="1"/>
    <col min="39" max="39" width="7.88671875" style="16" customWidth="1"/>
    <col min="40" max="40" width="8.44140625" style="16" hidden="1" customWidth="1" outlineLevel="1"/>
    <col min="41" max="41" width="12.5546875" style="16" hidden="1" customWidth="1" outlineLevel="1"/>
    <col min="42" max="42" width="49" style="16" hidden="1" customWidth="1" outlineLevel="1"/>
    <col min="43" max="43" width="16.44140625" style="16" hidden="1" customWidth="1" outlineLevel="1"/>
    <col min="44" max="44" width="17.88671875" style="16" hidden="1" customWidth="1" outlineLevel="1"/>
    <col min="45" max="45" width="12.44140625" style="16" hidden="1" customWidth="1" outlineLevel="1"/>
    <col min="46" max="46" width="21.88671875" style="16" hidden="1" customWidth="1" outlineLevel="1"/>
    <col min="47" max="47" width="8.6640625" style="16" customWidth="1" collapsed="1"/>
    <col min="48" max="48" width="8.6640625" style="16" hidden="1" customWidth="1" outlineLevel="1"/>
    <col min="49" max="49" width="12.5546875" style="16" hidden="1" customWidth="1" outlineLevel="1"/>
    <col min="50" max="50" width="49" style="16" hidden="1" customWidth="1" outlineLevel="1"/>
    <col min="51" max="51" width="16.44140625" style="16" hidden="1" customWidth="1" outlineLevel="1"/>
    <col min="52" max="52" width="17.88671875" style="16" hidden="1" customWidth="1" outlineLevel="1"/>
    <col min="53" max="53" width="12.44140625" style="16" hidden="1" customWidth="1" outlineLevel="1"/>
    <col min="54" max="54" width="23" style="16" hidden="1" customWidth="1" outlineLevel="1"/>
    <col min="55" max="55" width="8.88671875" style="16" collapsed="1"/>
    <col min="56" max="57" width="8.88671875" style="16"/>
  </cols>
  <sheetData>
    <row r="1" spans="1:57" ht="15" thickBot="1" x14ac:dyDescent="0.35"/>
    <row r="2" spans="1:57" ht="25.5" customHeight="1" x14ac:dyDescent="0.3">
      <c r="B2" s="155" t="s">
        <v>89</v>
      </c>
      <c r="F2" s="23" t="s">
        <v>75</v>
      </c>
      <c r="G2" s="260" t="s">
        <v>58</v>
      </c>
      <c r="H2" s="261"/>
      <c r="I2" s="261"/>
      <c r="J2" s="261"/>
      <c r="K2" s="261"/>
      <c r="L2" s="261"/>
      <c r="M2" s="261"/>
      <c r="N2" s="263"/>
      <c r="O2" s="264" t="s">
        <v>58</v>
      </c>
      <c r="P2" s="265"/>
      <c r="Q2" s="265"/>
      <c r="R2" s="265"/>
      <c r="S2" s="265"/>
      <c r="T2" s="265"/>
      <c r="U2" s="265"/>
      <c r="V2" s="266"/>
      <c r="W2" s="260" t="s">
        <v>58</v>
      </c>
      <c r="X2" s="261"/>
      <c r="Y2" s="261"/>
      <c r="Z2" s="261"/>
      <c r="AA2" s="261"/>
      <c r="AB2" s="261"/>
      <c r="AC2" s="261"/>
      <c r="AD2" s="262"/>
      <c r="AE2" s="260" t="s">
        <v>58</v>
      </c>
      <c r="AF2" s="261"/>
      <c r="AG2" s="261"/>
      <c r="AH2" s="261"/>
      <c r="AI2" s="261"/>
      <c r="AJ2" s="261"/>
      <c r="AK2" s="261"/>
      <c r="AL2" s="263"/>
      <c r="AM2" s="275" t="s">
        <v>59</v>
      </c>
      <c r="AN2" s="276"/>
      <c r="AO2" s="276"/>
      <c r="AP2" s="276"/>
      <c r="AQ2" s="276"/>
      <c r="AR2" s="276"/>
      <c r="AS2" s="276"/>
      <c r="AT2" s="277"/>
      <c r="AU2" s="269" t="s">
        <v>59</v>
      </c>
      <c r="AV2" s="270"/>
      <c r="AW2" s="270"/>
      <c r="AX2" s="270"/>
      <c r="AY2" s="270"/>
      <c r="AZ2" s="270"/>
      <c r="BA2" s="270"/>
      <c r="BB2" s="271"/>
    </row>
    <row r="3" spans="1:57" s="22" customFormat="1" ht="21.6" thickBot="1" x14ac:dyDescent="0.35">
      <c r="A3" s="24"/>
      <c r="B3" s="77"/>
      <c r="C3" s="30"/>
      <c r="D3" s="30"/>
      <c r="E3" s="30"/>
      <c r="F3" s="24" t="s">
        <v>75</v>
      </c>
      <c r="G3" s="257" t="s">
        <v>114</v>
      </c>
      <c r="H3" s="258"/>
      <c r="I3" s="258"/>
      <c r="J3" s="258"/>
      <c r="K3" s="258"/>
      <c r="L3" s="258"/>
      <c r="M3" s="258"/>
      <c r="N3" s="259"/>
      <c r="O3" s="257" t="s">
        <v>115</v>
      </c>
      <c r="P3" s="258"/>
      <c r="Q3" s="258"/>
      <c r="R3" s="258"/>
      <c r="S3" s="258"/>
      <c r="T3" s="258"/>
      <c r="U3" s="258"/>
      <c r="V3" s="259"/>
      <c r="W3" s="257" t="s">
        <v>116</v>
      </c>
      <c r="X3" s="258"/>
      <c r="Y3" s="258"/>
      <c r="Z3" s="258"/>
      <c r="AA3" s="258"/>
      <c r="AB3" s="258"/>
      <c r="AC3" s="258"/>
      <c r="AD3" s="259"/>
      <c r="AE3" s="257" t="s">
        <v>117</v>
      </c>
      <c r="AF3" s="258"/>
      <c r="AG3" s="258"/>
      <c r="AH3" s="258"/>
      <c r="AI3" s="258"/>
      <c r="AJ3" s="258"/>
      <c r="AK3" s="258"/>
      <c r="AL3" s="259"/>
      <c r="AM3" s="272" t="s">
        <v>118</v>
      </c>
      <c r="AN3" s="273"/>
      <c r="AO3" s="273"/>
      <c r="AP3" s="273"/>
      <c r="AQ3" s="273"/>
      <c r="AR3" s="273"/>
      <c r="AS3" s="273"/>
      <c r="AT3" s="274"/>
      <c r="AU3" s="272" t="s">
        <v>119</v>
      </c>
      <c r="AV3" s="273"/>
      <c r="AW3" s="273"/>
      <c r="AX3" s="273"/>
      <c r="AY3" s="273"/>
      <c r="AZ3" s="273"/>
      <c r="BA3" s="273"/>
      <c r="BB3" s="274"/>
    </row>
    <row r="4" spans="1:57" s="22" customFormat="1" ht="21" customHeight="1" x14ac:dyDescent="0.3">
      <c r="A4" s="24"/>
      <c r="B4" s="77"/>
      <c r="C4" s="30"/>
      <c r="D4" s="30"/>
      <c r="E4" s="30"/>
      <c r="F4" s="24"/>
      <c r="G4" s="300" t="s">
        <v>80</v>
      </c>
      <c r="H4" s="301"/>
      <c r="I4" s="313" t="s">
        <v>82</v>
      </c>
      <c r="J4" s="313" t="s">
        <v>43</v>
      </c>
      <c r="K4" s="313"/>
      <c r="L4" s="313"/>
      <c r="M4" s="313"/>
      <c r="N4" s="316" t="s">
        <v>86</v>
      </c>
      <c r="O4" s="300" t="s">
        <v>80</v>
      </c>
      <c r="P4" s="301"/>
      <c r="Q4" s="296" t="s">
        <v>83</v>
      </c>
      <c r="R4" s="296" t="s">
        <v>43</v>
      </c>
      <c r="S4" s="296"/>
      <c r="T4" s="296"/>
      <c r="U4" s="296"/>
      <c r="V4" s="292" t="s">
        <v>86</v>
      </c>
      <c r="W4" s="300" t="s">
        <v>80</v>
      </c>
      <c r="X4" s="301"/>
      <c r="Y4" s="296" t="s">
        <v>84</v>
      </c>
      <c r="Z4" s="296" t="s">
        <v>43</v>
      </c>
      <c r="AA4" s="296"/>
      <c r="AB4" s="296"/>
      <c r="AC4" s="296"/>
      <c r="AD4" s="303" t="s">
        <v>86</v>
      </c>
      <c r="AE4" s="300" t="s">
        <v>80</v>
      </c>
      <c r="AF4" s="301"/>
      <c r="AG4" s="296" t="s">
        <v>85</v>
      </c>
      <c r="AH4" s="296" t="s">
        <v>43</v>
      </c>
      <c r="AI4" s="296"/>
      <c r="AJ4" s="296"/>
      <c r="AK4" s="296"/>
      <c r="AL4" s="292" t="s">
        <v>86</v>
      </c>
      <c r="AM4" s="284" t="s">
        <v>81</v>
      </c>
      <c r="AN4" s="285"/>
      <c r="AO4" s="295" t="s">
        <v>82</v>
      </c>
      <c r="AP4" s="295" t="s">
        <v>43</v>
      </c>
      <c r="AQ4" s="295"/>
      <c r="AR4" s="295"/>
      <c r="AS4" s="295"/>
      <c r="AT4" s="297" t="s">
        <v>86</v>
      </c>
      <c r="AU4" s="284" t="s">
        <v>81</v>
      </c>
      <c r="AV4" s="285"/>
      <c r="AW4" s="278" t="s">
        <v>83</v>
      </c>
      <c r="AX4" s="278" t="s">
        <v>43</v>
      </c>
      <c r="AY4" s="278"/>
      <c r="AZ4" s="278"/>
      <c r="BA4" s="278"/>
      <c r="BB4" s="279" t="s">
        <v>86</v>
      </c>
    </row>
    <row r="5" spans="1:57" s="22" customFormat="1" ht="43.2" x14ac:dyDescent="0.3">
      <c r="A5" s="25"/>
      <c r="B5" s="146" t="s">
        <v>93</v>
      </c>
      <c r="C5" s="145"/>
      <c r="D5" s="31"/>
      <c r="E5" s="31"/>
      <c r="F5" s="83"/>
      <c r="G5" s="126" t="s">
        <v>64</v>
      </c>
      <c r="H5" s="127" t="s">
        <v>64</v>
      </c>
      <c r="I5" s="314"/>
      <c r="J5" s="314"/>
      <c r="K5" s="314"/>
      <c r="L5" s="314"/>
      <c r="M5" s="314"/>
      <c r="N5" s="317"/>
      <c r="O5" s="147">
        <v>2021</v>
      </c>
      <c r="P5" s="148">
        <v>2021</v>
      </c>
      <c r="Q5" s="290"/>
      <c r="R5" s="290"/>
      <c r="S5" s="290"/>
      <c r="T5" s="290"/>
      <c r="U5" s="290"/>
      <c r="V5" s="293"/>
      <c r="W5" s="149">
        <v>2021</v>
      </c>
      <c r="X5" s="148">
        <v>2021</v>
      </c>
      <c r="Y5" s="290"/>
      <c r="Z5" s="290"/>
      <c r="AA5" s="290"/>
      <c r="AB5" s="290"/>
      <c r="AC5" s="290"/>
      <c r="AD5" s="304"/>
      <c r="AE5" s="149">
        <v>2021</v>
      </c>
      <c r="AF5" s="150">
        <v>2021</v>
      </c>
      <c r="AG5" s="290"/>
      <c r="AH5" s="290"/>
      <c r="AI5" s="290"/>
      <c r="AJ5" s="290"/>
      <c r="AK5" s="290"/>
      <c r="AL5" s="293"/>
      <c r="AM5" s="151" t="s">
        <v>120</v>
      </c>
      <c r="AN5" s="152" t="s">
        <v>120</v>
      </c>
      <c r="AO5" s="282"/>
      <c r="AP5" s="282"/>
      <c r="AQ5" s="282"/>
      <c r="AR5" s="282"/>
      <c r="AS5" s="282"/>
      <c r="AT5" s="298"/>
      <c r="AU5" s="153">
        <v>2021</v>
      </c>
      <c r="AV5" s="154">
        <v>2021</v>
      </c>
      <c r="AW5" s="267"/>
      <c r="AX5" s="267"/>
      <c r="AY5" s="267"/>
      <c r="AZ5" s="267"/>
      <c r="BA5" s="267"/>
      <c r="BB5" s="280"/>
    </row>
    <row r="6" spans="1:57" s="22" customFormat="1" ht="15" customHeight="1" x14ac:dyDescent="0.3">
      <c r="A6" s="25"/>
      <c r="B6" s="28"/>
      <c r="C6" s="28"/>
      <c r="D6" s="28"/>
      <c r="E6" s="28"/>
      <c r="F6" s="33"/>
      <c r="G6" s="322" t="s">
        <v>49</v>
      </c>
      <c r="H6" s="314" t="s">
        <v>53</v>
      </c>
      <c r="I6" s="314"/>
      <c r="J6" s="314" t="s">
        <v>54</v>
      </c>
      <c r="K6" s="314" t="s">
        <v>55</v>
      </c>
      <c r="L6" s="314" t="s">
        <v>47</v>
      </c>
      <c r="M6" s="314" t="s">
        <v>27</v>
      </c>
      <c r="N6" s="317"/>
      <c r="O6" s="308" t="s">
        <v>50</v>
      </c>
      <c r="P6" s="290" t="s">
        <v>48</v>
      </c>
      <c r="Q6" s="290"/>
      <c r="R6" s="290" t="s">
        <v>54</v>
      </c>
      <c r="S6" s="290" t="s">
        <v>55</v>
      </c>
      <c r="T6" s="290" t="s">
        <v>47</v>
      </c>
      <c r="U6" s="290" t="s">
        <v>27</v>
      </c>
      <c r="V6" s="293"/>
      <c r="W6" s="306" t="s">
        <v>51</v>
      </c>
      <c r="X6" s="290" t="s">
        <v>56</v>
      </c>
      <c r="Y6" s="290"/>
      <c r="Z6" s="290" t="s">
        <v>54</v>
      </c>
      <c r="AA6" s="290" t="s">
        <v>55</v>
      </c>
      <c r="AB6" s="290" t="s">
        <v>47</v>
      </c>
      <c r="AC6" s="290" t="s">
        <v>27</v>
      </c>
      <c r="AD6" s="304"/>
      <c r="AE6" s="306" t="s">
        <v>52</v>
      </c>
      <c r="AF6" s="290" t="s">
        <v>57</v>
      </c>
      <c r="AG6" s="290"/>
      <c r="AH6" s="290" t="s">
        <v>54</v>
      </c>
      <c r="AI6" s="290" t="s">
        <v>55</v>
      </c>
      <c r="AJ6" s="290" t="s">
        <v>47</v>
      </c>
      <c r="AK6" s="290" t="s">
        <v>27</v>
      </c>
      <c r="AL6" s="293"/>
      <c r="AM6" s="286" t="s">
        <v>49</v>
      </c>
      <c r="AN6" s="282" t="s">
        <v>53</v>
      </c>
      <c r="AO6" s="282"/>
      <c r="AP6" s="282" t="s">
        <v>54</v>
      </c>
      <c r="AQ6" s="282" t="s">
        <v>55</v>
      </c>
      <c r="AR6" s="282" t="s">
        <v>47</v>
      </c>
      <c r="AS6" s="282" t="s">
        <v>27</v>
      </c>
      <c r="AT6" s="298"/>
      <c r="AU6" s="288" t="s">
        <v>50</v>
      </c>
      <c r="AV6" s="282" t="s">
        <v>48</v>
      </c>
      <c r="AW6" s="267"/>
      <c r="AX6" s="267" t="s">
        <v>54</v>
      </c>
      <c r="AY6" s="267" t="s">
        <v>55</v>
      </c>
      <c r="AZ6" s="267" t="s">
        <v>47</v>
      </c>
      <c r="BA6" s="267" t="s">
        <v>27</v>
      </c>
      <c r="BB6" s="280"/>
    </row>
    <row r="7" spans="1:57" s="22" customFormat="1" x14ac:dyDescent="0.3">
      <c r="A7" s="25"/>
      <c r="B7" s="28"/>
      <c r="C7" s="28"/>
      <c r="D7" s="28"/>
      <c r="E7" s="28"/>
      <c r="F7" s="33"/>
      <c r="G7" s="322"/>
      <c r="H7" s="314"/>
      <c r="I7" s="314"/>
      <c r="J7" s="314"/>
      <c r="K7" s="314"/>
      <c r="L7" s="314"/>
      <c r="M7" s="314"/>
      <c r="N7" s="317"/>
      <c r="O7" s="308"/>
      <c r="P7" s="290"/>
      <c r="Q7" s="290"/>
      <c r="R7" s="290"/>
      <c r="S7" s="290"/>
      <c r="T7" s="290"/>
      <c r="U7" s="290"/>
      <c r="V7" s="293"/>
      <c r="W7" s="306"/>
      <c r="X7" s="290"/>
      <c r="Y7" s="290"/>
      <c r="Z7" s="290"/>
      <c r="AA7" s="290"/>
      <c r="AB7" s="290"/>
      <c r="AC7" s="290"/>
      <c r="AD7" s="304"/>
      <c r="AE7" s="306"/>
      <c r="AF7" s="290"/>
      <c r="AG7" s="290"/>
      <c r="AH7" s="290"/>
      <c r="AI7" s="290"/>
      <c r="AJ7" s="290"/>
      <c r="AK7" s="290"/>
      <c r="AL7" s="293"/>
      <c r="AM7" s="286"/>
      <c r="AN7" s="282"/>
      <c r="AO7" s="282"/>
      <c r="AP7" s="282"/>
      <c r="AQ7" s="282"/>
      <c r="AR7" s="282"/>
      <c r="AS7" s="282"/>
      <c r="AT7" s="298"/>
      <c r="AU7" s="288"/>
      <c r="AV7" s="282"/>
      <c r="AW7" s="267"/>
      <c r="AX7" s="267"/>
      <c r="AY7" s="267"/>
      <c r="AZ7" s="267"/>
      <c r="BA7" s="267"/>
      <c r="BB7" s="280"/>
    </row>
    <row r="8" spans="1:57" s="22" customFormat="1" ht="28.2" thickBot="1" x14ac:dyDescent="0.35">
      <c r="A8" s="25"/>
      <c r="B8" s="28"/>
      <c r="C8" s="177" t="s">
        <v>79</v>
      </c>
      <c r="D8" s="178" t="s">
        <v>77</v>
      </c>
      <c r="E8" s="178" t="s">
        <v>78</v>
      </c>
      <c r="F8" s="179" t="s">
        <v>76</v>
      </c>
      <c r="G8" s="323"/>
      <c r="H8" s="315"/>
      <c r="I8" s="315"/>
      <c r="J8" s="315"/>
      <c r="K8" s="315"/>
      <c r="L8" s="315"/>
      <c r="M8" s="315"/>
      <c r="N8" s="318"/>
      <c r="O8" s="309"/>
      <c r="P8" s="291"/>
      <c r="Q8" s="291"/>
      <c r="R8" s="291"/>
      <c r="S8" s="291"/>
      <c r="T8" s="291"/>
      <c r="U8" s="291"/>
      <c r="V8" s="294"/>
      <c r="W8" s="307"/>
      <c r="X8" s="302"/>
      <c r="Y8" s="302"/>
      <c r="Z8" s="302"/>
      <c r="AA8" s="302"/>
      <c r="AB8" s="302"/>
      <c r="AC8" s="302"/>
      <c r="AD8" s="305"/>
      <c r="AE8" s="310"/>
      <c r="AF8" s="291"/>
      <c r="AG8" s="291"/>
      <c r="AH8" s="291"/>
      <c r="AI8" s="291"/>
      <c r="AJ8" s="291"/>
      <c r="AK8" s="291"/>
      <c r="AL8" s="294"/>
      <c r="AM8" s="287"/>
      <c r="AN8" s="283"/>
      <c r="AO8" s="283"/>
      <c r="AP8" s="283"/>
      <c r="AQ8" s="283"/>
      <c r="AR8" s="283"/>
      <c r="AS8" s="283"/>
      <c r="AT8" s="299"/>
      <c r="AU8" s="289"/>
      <c r="AV8" s="283"/>
      <c r="AW8" s="268"/>
      <c r="AX8" s="268"/>
      <c r="AY8" s="268"/>
      <c r="AZ8" s="268"/>
      <c r="BA8" s="268"/>
      <c r="BB8" s="281"/>
    </row>
    <row r="9" spans="1:57" s="160" customFormat="1" x14ac:dyDescent="0.3">
      <c r="A9" s="128">
        <v>1</v>
      </c>
      <c r="B9" s="172" t="s">
        <v>99</v>
      </c>
      <c r="C9" s="129"/>
      <c r="D9" s="173"/>
      <c r="E9" s="173"/>
      <c r="F9" s="130"/>
      <c r="G9" s="55"/>
      <c r="H9" s="56"/>
      <c r="I9" s="56"/>
      <c r="J9" s="56"/>
      <c r="K9" s="56"/>
      <c r="L9" s="56"/>
      <c r="M9" s="56"/>
      <c r="N9" s="63"/>
      <c r="O9" s="55"/>
      <c r="P9" s="56"/>
      <c r="Q9" s="56"/>
      <c r="R9" s="56"/>
      <c r="S9" s="56"/>
      <c r="T9" s="56"/>
      <c r="U9" s="56"/>
      <c r="V9" s="62"/>
      <c r="W9" s="55"/>
      <c r="X9" s="56"/>
      <c r="Y9" s="56"/>
      <c r="Z9" s="56"/>
      <c r="AA9" s="56"/>
      <c r="AB9" s="56"/>
      <c r="AC9" s="56"/>
      <c r="AD9" s="60"/>
      <c r="AE9" s="55"/>
      <c r="AF9" s="56"/>
      <c r="AG9" s="56"/>
      <c r="AH9" s="56"/>
      <c r="AI9" s="56"/>
      <c r="AJ9" s="56"/>
      <c r="AK9" s="56"/>
      <c r="AL9" s="57"/>
      <c r="AM9" s="53"/>
      <c r="AN9" s="52"/>
      <c r="AO9" s="52"/>
      <c r="AP9" s="52"/>
      <c r="AQ9" s="52"/>
      <c r="AR9" s="52"/>
      <c r="AS9" s="52"/>
      <c r="AT9" s="61"/>
      <c r="AU9" s="55"/>
      <c r="AV9" s="56"/>
      <c r="AW9" s="56"/>
      <c r="AX9" s="56"/>
      <c r="AY9" s="56"/>
      <c r="AZ9" s="56"/>
      <c r="BA9" s="56"/>
      <c r="BB9" s="57"/>
      <c r="BC9" s="157"/>
      <c r="BD9" s="157"/>
      <c r="BE9" s="157"/>
    </row>
    <row r="10" spans="1:57" s="160" customFormat="1" ht="70.2" customHeight="1" x14ac:dyDescent="0.3">
      <c r="A10" s="131" t="s">
        <v>65</v>
      </c>
      <c r="B10" s="138" t="s">
        <v>100</v>
      </c>
      <c r="C10" s="319" t="s">
        <v>95</v>
      </c>
      <c r="D10" s="132">
        <v>44136</v>
      </c>
      <c r="E10" s="132">
        <v>44592</v>
      </c>
      <c r="F10" s="133">
        <v>5</v>
      </c>
      <c r="G10" s="40" t="s">
        <v>113</v>
      </c>
      <c r="H10" s="41" t="s">
        <v>113</v>
      </c>
      <c r="I10" s="165" t="s">
        <v>148</v>
      </c>
      <c r="J10" s="166" t="s">
        <v>144</v>
      </c>
      <c r="K10" s="168">
        <v>1</v>
      </c>
      <c r="L10" s="168">
        <v>0.2</v>
      </c>
      <c r="M10" s="165" t="s">
        <v>128</v>
      </c>
      <c r="N10" s="193" t="s">
        <v>145</v>
      </c>
      <c r="O10" s="40" t="s">
        <v>113</v>
      </c>
      <c r="P10" s="41" t="s">
        <v>113</v>
      </c>
      <c r="Q10" s="165" t="s">
        <v>196</v>
      </c>
      <c r="R10" s="208" t="s">
        <v>187</v>
      </c>
      <c r="S10" s="206" t="s">
        <v>127</v>
      </c>
      <c r="T10" s="206" t="s">
        <v>188</v>
      </c>
      <c r="U10" s="207" t="s">
        <v>128</v>
      </c>
      <c r="V10" s="209" t="s">
        <v>189</v>
      </c>
      <c r="W10" s="34" t="s">
        <v>113</v>
      </c>
      <c r="X10" s="35" t="s">
        <v>113</v>
      </c>
      <c r="Y10" s="207" t="s">
        <v>273</v>
      </c>
      <c r="Z10" s="226" t="s">
        <v>189</v>
      </c>
      <c r="AA10" s="35" t="s">
        <v>127</v>
      </c>
      <c r="AB10" s="35" t="s">
        <v>171</v>
      </c>
      <c r="AC10" s="207" t="s">
        <v>128</v>
      </c>
      <c r="AD10" s="227" t="s">
        <v>287</v>
      </c>
      <c r="AE10" s="40" t="s">
        <v>113</v>
      </c>
      <c r="AF10" s="41" t="s">
        <v>113</v>
      </c>
      <c r="AG10" s="207" t="s">
        <v>302</v>
      </c>
      <c r="AH10" s="208" t="s">
        <v>325</v>
      </c>
      <c r="AI10" s="207" t="s">
        <v>127</v>
      </c>
      <c r="AJ10" s="207" t="s">
        <v>300</v>
      </c>
      <c r="AK10" s="207" t="s">
        <v>128</v>
      </c>
      <c r="AL10" s="242" t="s">
        <v>326</v>
      </c>
      <c r="AM10" s="58" t="s">
        <v>113</v>
      </c>
      <c r="AN10" s="37"/>
      <c r="AO10" s="37"/>
      <c r="AP10" s="37"/>
      <c r="AQ10" s="37"/>
      <c r="AR10" s="37"/>
      <c r="AS10" s="37"/>
      <c r="AT10" s="38"/>
      <c r="AU10" s="36"/>
      <c r="AV10" s="37"/>
      <c r="AW10" s="37"/>
      <c r="AX10" s="37"/>
      <c r="AY10" s="37"/>
      <c r="AZ10" s="37"/>
      <c r="BA10" s="37"/>
      <c r="BB10" s="39"/>
      <c r="BC10" s="157"/>
      <c r="BD10" s="157"/>
      <c r="BE10" s="157"/>
    </row>
    <row r="11" spans="1:57" s="160" customFormat="1" ht="54" customHeight="1" x14ac:dyDescent="0.3">
      <c r="A11" s="131" t="s">
        <v>66</v>
      </c>
      <c r="B11" s="138" t="s">
        <v>101</v>
      </c>
      <c r="C11" s="320"/>
      <c r="D11" s="132">
        <v>44228</v>
      </c>
      <c r="E11" s="132">
        <v>44681</v>
      </c>
      <c r="F11" s="133">
        <v>5</v>
      </c>
      <c r="G11" s="40"/>
      <c r="H11" s="41"/>
      <c r="I11" s="165" t="s">
        <v>132</v>
      </c>
      <c r="J11" s="166" t="s">
        <v>131</v>
      </c>
      <c r="K11" s="168"/>
      <c r="L11" s="168"/>
      <c r="M11" s="41"/>
      <c r="N11" s="64"/>
      <c r="O11" s="40" t="s">
        <v>113</v>
      </c>
      <c r="P11" s="41" t="s">
        <v>113</v>
      </c>
      <c r="Q11" s="165" t="s">
        <v>195</v>
      </c>
      <c r="R11" s="208" t="s">
        <v>190</v>
      </c>
      <c r="S11" s="206" t="s">
        <v>127</v>
      </c>
      <c r="T11" s="206" t="s">
        <v>191</v>
      </c>
      <c r="U11" s="207" t="s">
        <v>128</v>
      </c>
      <c r="V11" s="202" t="s">
        <v>197</v>
      </c>
      <c r="W11" s="40" t="s">
        <v>113</v>
      </c>
      <c r="X11" s="41" t="s">
        <v>113</v>
      </c>
      <c r="Y11" s="207" t="s">
        <v>274</v>
      </c>
      <c r="Z11" s="208" t="s">
        <v>278</v>
      </c>
      <c r="AA11" s="206" t="s">
        <v>127</v>
      </c>
      <c r="AB11" s="206" t="s">
        <v>272</v>
      </c>
      <c r="AC11" s="207" t="s">
        <v>128</v>
      </c>
      <c r="AD11" s="221" t="s">
        <v>275</v>
      </c>
      <c r="AE11" s="40" t="s">
        <v>113</v>
      </c>
      <c r="AF11" s="41" t="s">
        <v>113</v>
      </c>
      <c r="AG11" s="207" t="s">
        <v>301</v>
      </c>
      <c r="AH11" s="208" t="s">
        <v>320</v>
      </c>
      <c r="AI11" s="207" t="s">
        <v>127</v>
      </c>
      <c r="AJ11" s="207" t="s">
        <v>171</v>
      </c>
      <c r="AK11" s="207" t="s">
        <v>128</v>
      </c>
      <c r="AL11" s="242" t="s">
        <v>303</v>
      </c>
      <c r="AM11" s="59" t="s">
        <v>113</v>
      </c>
      <c r="AN11" s="43"/>
      <c r="AO11" s="43"/>
      <c r="AP11" s="43"/>
      <c r="AQ11" s="43"/>
      <c r="AR11" s="43"/>
      <c r="AS11" s="43"/>
      <c r="AT11" s="44"/>
      <c r="AU11" s="42" t="s">
        <v>113</v>
      </c>
      <c r="AV11" s="43"/>
      <c r="AW11" s="43"/>
      <c r="AX11" s="43"/>
      <c r="AY11" s="43"/>
      <c r="AZ11" s="43"/>
      <c r="BA11" s="43"/>
      <c r="BB11" s="45"/>
      <c r="BC11" s="157"/>
      <c r="BD11" s="157"/>
      <c r="BE11" s="157"/>
    </row>
    <row r="12" spans="1:57" s="160" customFormat="1" x14ac:dyDescent="0.3">
      <c r="A12" s="139">
        <v>2</v>
      </c>
      <c r="B12" s="134" t="s">
        <v>102</v>
      </c>
      <c r="C12" s="135"/>
      <c r="D12" s="136"/>
      <c r="E12" s="136"/>
      <c r="F12" s="137"/>
      <c r="G12" s="46"/>
      <c r="H12" s="47"/>
      <c r="I12" s="189"/>
      <c r="J12" s="47"/>
      <c r="K12" s="169"/>
      <c r="L12" s="169"/>
      <c r="M12" s="47"/>
      <c r="N12" s="54"/>
      <c r="O12" s="46"/>
      <c r="P12" s="47"/>
      <c r="Q12" s="47"/>
      <c r="R12" s="47"/>
      <c r="S12" s="47"/>
      <c r="T12" s="47"/>
      <c r="U12" s="47"/>
      <c r="V12" s="51"/>
      <c r="W12" s="46"/>
      <c r="X12" s="47"/>
      <c r="Y12" s="47"/>
      <c r="Z12" s="47"/>
      <c r="AA12" s="47"/>
      <c r="AB12" s="47"/>
      <c r="AC12" s="47"/>
      <c r="AD12" s="48"/>
      <c r="AE12" s="46"/>
      <c r="AF12" s="47"/>
      <c r="AG12" s="47"/>
      <c r="AH12" s="47"/>
      <c r="AI12" s="47"/>
      <c r="AJ12" s="47"/>
      <c r="AK12" s="47"/>
      <c r="AL12" s="49"/>
      <c r="AM12" s="50"/>
      <c r="AN12" s="47"/>
      <c r="AO12" s="47"/>
      <c r="AP12" s="47"/>
      <c r="AQ12" s="47"/>
      <c r="AR12" s="47"/>
      <c r="AS12" s="47"/>
      <c r="AT12" s="48"/>
      <c r="AU12" s="46"/>
      <c r="AV12" s="47"/>
      <c r="AW12" s="47"/>
      <c r="AX12" s="47"/>
      <c r="AY12" s="47"/>
      <c r="AZ12" s="47"/>
      <c r="BA12" s="47"/>
      <c r="BB12" s="49"/>
      <c r="BC12" s="157"/>
      <c r="BD12" s="157"/>
      <c r="BE12" s="157"/>
    </row>
    <row r="13" spans="1:57" s="160" customFormat="1" ht="130.19999999999999" customHeight="1" x14ac:dyDescent="0.3">
      <c r="A13" s="131" t="s">
        <v>67</v>
      </c>
      <c r="B13" s="138" t="s">
        <v>103</v>
      </c>
      <c r="C13" s="319" t="s">
        <v>94</v>
      </c>
      <c r="D13" s="132">
        <v>44136</v>
      </c>
      <c r="E13" s="132">
        <v>44681</v>
      </c>
      <c r="F13" s="133">
        <v>6</v>
      </c>
      <c r="G13" s="40" t="s">
        <v>113</v>
      </c>
      <c r="H13" s="41" t="s">
        <v>113</v>
      </c>
      <c r="I13" s="165" t="s">
        <v>149</v>
      </c>
      <c r="J13" s="166" t="s">
        <v>137</v>
      </c>
      <c r="K13" s="168">
        <v>1</v>
      </c>
      <c r="L13" s="199">
        <v>0.1</v>
      </c>
      <c r="M13" s="165" t="s">
        <v>128</v>
      </c>
      <c r="N13" s="170" t="s">
        <v>138</v>
      </c>
      <c r="O13" s="40" t="s">
        <v>113</v>
      </c>
      <c r="P13" s="41" t="s">
        <v>113</v>
      </c>
      <c r="Q13" s="165" t="s">
        <v>192</v>
      </c>
      <c r="R13" s="166" t="s">
        <v>199</v>
      </c>
      <c r="S13" s="41" t="s">
        <v>171</v>
      </c>
      <c r="T13" s="41" t="s">
        <v>170</v>
      </c>
      <c r="U13" s="165" t="s">
        <v>172</v>
      </c>
      <c r="V13" s="202" t="s">
        <v>198</v>
      </c>
      <c r="W13" s="40" t="s">
        <v>113</v>
      </c>
      <c r="X13" s="41" t="s">
        <v>113</v>
      </c>
      <c r="Y13" s="207" t="s">
        <v>221</v>
      </c>
      <c r="Z13" s="208" t="s">
        <v>277</v>
      </c>
      <c r="AA13" s="41" t="s">
        <v>127</v>
      </c>
      <c r="AB13" s="41" t="s">
        <v>214</v>
      </c>
      <c r="AC13" s="207" t="s">
        <v>128</v>
      </c>
      <c r="AD13" s="221" t="s">
        <v>224</v>
      </c>
      <c r="AE13" s="40" t="s">
        <v>113</v>
      </c>
      <c r="AF13" s="41" t="s">
        <v>113</v>
      </c>
      <c r="AG13" s="207" t="s">
        <v>310</v>
      </c>
      <c r="AH13" s="208" t="s">
        <v>313</v>
      </c>
      <c r="AI13" s="207" t="s">
        <v>171</v>
      </c>
      <c r="AJ13" s="207" t="s">
        <v>307</v>
      </c>
      <c r="AK13" s="207" t="s">
        <v>308</v>
      </c>
      <c r="AL13" s="242" t="s">
        <v>312</v>
      </c>
      <c r="AM13" s="59" t="s">
        <v>113</v>
      </c>
      <c r="AN13" s="43"/>
      <c r="AO13" s="43"/>
      <c r="AP13" s="43"/>
      <c r="AQ13" s="43"/>
      <c r="AR13" s="43"/>
      <c r="AS13" s="43"/>
      <c r="AT13" s="44"/>
      <c r="AU13" s="42" t="s">
        <v>113</v>
      </c>
      <c r="AV13" s="43"/>
      <c r="AW13" s="43"/>
      <c r="AX13" s="43"/>
      <c r="AY13" s="43"/>
      <c r="AZ13" s="43"/>
      <c r="BA13" s="43"/>
      <c r="BB13" s="45"/>
      <c r="BC13" s="157"/>
      <c r="BD13" s="157"/>
      <c r="BE13" s="157"/>
    </row>
    <row r="14" spans="1:57" s="160" customFormat="1" ht="68.400000000000006" customHeight="1" x14ac:dyDescent="0.3">
      <c r="A14" s="131" t="s">
        <v>68</v>
      </c>
      <c r="B14" s="138" t="s">
        <v>104</v>
      </c>
      <c r="C14" s="321"/>
      <c r="D14" s="132">
        <v>44136</v>
      </c>
      <c r="E14" s="132">
        <v>44681</v>
      </c>
      <c r="F14" s="133">
        <v>6</v>
      </c>
      <c r="G14" s="40" t="s">
        <v>113</v>
      </c>
      <c r="H14" s="41" t="s">
        <v>113</v>
      </c>
      <c r="I14" s="165" t="s">
        <v>150</v>
      </c>
      <c r="J14" s="166" t="s">
        <v>136</v>
      </c>
      <c r="K14" s="168">
        <v>0.95</v>
      </c>
      <c r="L14" s="199">
        <v>0.15</v>
      </c>
      <c r="M14" s="166" t="s">
        <v>146</v>
      </c>
      <c r="N14" s="170" t="s">
        <v>139</v>
      </c>
      <c r="O14" s="40" t="s">
        <v>113</v>
      </c>
      <c r="P14" s="41" t="s">
        <v>113</v>
      </c>
      <c r="Q14" s="165" t="s">
        <v>173</v>
      </c>
      <c r="R14" s="166" t="s">
        <v>200</v>
      </c>
      <c r="S14" s="41" t="s">
        <v>127</v>
      </c>
      <c r="T14" s="41" t="s">
        <v>170</v>
      </c>
      <c r="U14" s="165" t="s">
        <v>128</v>
      </c>
      <c r="V14" s="202" t="s">
        <v>201</v>
      </c>
      <c r="W14" s="40" t="s">
        <v>113</v>
      </c>
      <c r="X14" s="41" t="s">
        <v>113</v>
      </c>
      <c r="Y14" s="207" t="s">
        <v>173</v>
      </c>
      <c r="Z14" s="208" t="s">
        <v>225</v>
      </c>
      <c r="AA14" s="41" t="s">
        <v>127</v>
      </c>
      <c r="AB14" s="41" t="s">
        <v>223</v>
      </c>
      <c r="AC14" s="207" t="s">
        <v>128</v>
      </c>
      <c r="AD14" s="221" t="s">
        <v>226</v>
      </c>
      <c r="AE14" s="40" t="s">
        <v>113</v>
      </c>
      <c r="AF14" s="41" t="s">
        <v>113</v>
      </c>
      <c r="AG14" s="207" t="s">
        <v>311</v>
      </c>
      <c r="AH14" s="208" t="s">
        <v>309</v>
      </c>
      <c r="AI14" s="207" t="s">
        <v>127</v>
      </c>
      <c r="AJ14" s="207" t="s">
        <v>307</v>
      </c>
      <c r="AK14" s="207" t="s">
        <v>128</v>
      </c>
      <c r="AL14" s="242" t="s">
        <v>314</v>
      </c>
      <c r="AM14" s="59" t="s">
        <v>113</v>
      </c>
      <c r="AN14" s="43"/>
      <c r="AO14" s="43"/>
      <c r="AP14" s="43"/>
      <c r="AQ14" s="43"/>
      <c r="AR14" s="43"/>
      <c r="AS14" s="43"/>
      <c r="AT14" s="44"/>
      <c r="AU14" s="42" t="s">
        <v>113</v>
      </c>
      <c r="AV14" s="43"/>
      <c r="AW14" s="43"/>
      <c r="AX14" s="43"/>
      <c r="AY14" s="43"/>
      <c r="AZ14" s="43"/>
      <c r="BA14" s="43"/>
      <c r="BB14" s="45"/>
      <c r="BC14" s="157"/>
      <c r="BD14" s="157"/>
      <c r="BE14" s="157"/>
    </row>
    <row r="15" spans="1:57" s="160" customFormat="1" ht="96" customHeight="1" x14ac:dyDescent="0.3">
      <c r="A15" s="131" t="s">
        <v>69</v>
      </c>
      <c r="B15" s="138" t="s">
        <v>105</v>
      </c>
      <c r="C15" s="320"/>
      <c r="D15" s="132">
        <v>44228</v>
      </c>
      <c r="E15" s="132">
        <v>44681</v>
      </c>
      <c r="F15" s="133">
        <v>5</v>
      </c>
      <c r="G15" s="40"/>
      <c r="H15" s="41"/>
      <c r="I15" s="165" t="s">
        <v>133</v>
      </c>
      <c r="J15" s="166" t="s">
        <v>131</v>
      </c>
      <c r="K15" s="168"/>
      <c r="L15" s="168"/>
      <c r="M15" s="41"/>
      <c r="N15" s="64"/>
      <c r="O15" s="40" t="s">
        <v>113</v>
      </c>
      <c r="P15" s="41" t="s">
        <v>113</v>
      </c>
      <c r="Q15" s="207" t="s">
        <v>185</v>
      </c>
      <c r="R15" s="208" t="s">
        <v>186</v>
      </c>
      <c r="S15" s="206" t="s">
        <v>127</v>
      </c>
      <c r="T15" s="206" t="s">
        <v>170</v>
      </c>
      <c r="U15" s="207" t="s">
        <v>128</v>
      </c>
      <c r="V15" s="202" t="s">
        <v>202</v>
      </c>
      <c r="W15" s="40" t="s">
        <v>113</v>
      </c>
      <c r="X15" s="41" t="s">
        <v>113</v>
      </c>
      <c r="Y15" s="207" t="s">
        <v>222</v>
      </c>
      <c r="Z15" s="208" t="s">
        <v>227</v>
      </c>
      <c r="AA15" s="41" t="s">
        <v>127</v>
      </c>
      <c r="AB15" s="41" t="s">
        <v>214</v>
      </c>
      <c r="AC15" s="207" t="s">
        <v>128</v>
      </c>
      <c r="AD15" s="221" t="s">
        <v>228</v>
      </c>
      <c r="AE15" s="40" t="s">
        <v>113</v>
      </c>
      <c r="AF15" s="41" t="s">
        <v>113</v>
      </c>
      <c r="AG15" s="207" t="s">
        <v>318</v>
      </c>
      <c r="AH15" s="208" t="s">
        <v>315</v>
      </c>
      <c r="AI15" s="207" t="s">
        <v>127</v>
      </c>
      <c r="AJ15" s="207" t="s">
        <v>298</v>
      </c>
      <c r="AK15" s="207" t="s">
        <v>128</v>
      </c>
      <c r="AL15" s="242" t="s">
        <v>228</v>
      </c>
      <c r="AM15" s="59" t="s">
        <v>113</v>
      </c>
      <c r="AN15" s="43"/>
      <c r="AO15" s="43"/>
      <c r="AP15" s="43"/>
      <c r="AQ15" s="43"/>
      <c r="AR15" s="43"/>
      <c r="AS15" s="43"/>
      <c r="AT15" s="44"/>
      <c r="AU15" s="42" t="s">
        <v>113</v>
      </c>
      <c r="AV15" s="43"/>
      <c r="AW15" s="43"/>
      <c r="AX15" s="43"/>
      <c r="AY15" s="43"/>
      <c r="AZ15" s="43"/>
      <c r="BA15" s="43"/>
      <c r="BB15" s="45"/>
      <c r="BC15" s="157"/>
      <c r="BD15" s="157"/>
      <c r="BE15" s="157"/>
    </row>
    <row r="16" spans="1:57" s="160" customFormat="1" x14ac:dyDescent="0.3">
      <c r="A16" s="139">
        <v>3</v>
      </c>
      <c r="B16" s="134" t="s">
        <v>106</v>
      </c>
      <c r="C16" s="135"/>
      <c r="D16" s="136"/>
      <c r="E16" s="136"/>
      <c r="F16" s="137"/>
      <c r="G16" s="46"/>
      <c r="H16" s="47"/>
      <c r="I16" s="189"/>
      <c r="J16" s="47"/>
      <c r="K16" s="169"/>
      <c r="L16" s="169"/>
      <c r="M16" s="47"/>
      <c r="N16" s="54"/>
      <c r="O16" s="46"/>
      <c r="P16" s="47"/>
      <c r="Q16" s="47"/>
      <c r="R16" s="47"/>
      <c r="S16" s="47"/>
      <c r="T16" s="47"/>
      <c r="U16" s="47"/>
      <c r="V16" s="51"/>
      <c r="W16" s="46"/>
      <c r="X16" s="47"/>
      <c r="Y16" s="47"/>
      <c r="Z16" s="47"/>
      <c r="AA16" s="47"/>
      <c r="AB16" s="47"/>
      <c r="AC16" s="47"/>
      <c r="AD16" s="48"/>
      <c r="AE16" s="46"/>
      <c r="AF16" s="47"/>
      <c r="AG16" s="47"/>
      <c r="AH16" s="47"/>
      <c r="AI16" s="47"/>
      <c r="AJ16" s="47"/>
      <c r="AK16" s="47"/>
      <c r="AL16" s="49"/>
      <c r="AM16" s="50"/>
      <c r="AN16" s="47"/>
      <c r="AO16" s="47"/>
      <c r="AP16" s="47"/>
      <c r="AQ16" s="47"/>
      <c r="AR16" s="47"/>
      <c r="AS16" s="47"/>
      <c r="AT16" s="48"/>
      <c r="AU16" s="46"/>
      <c r="AV16" s="47"/>
      <c r="AW16" s="47"/>
      <c r="AX16" s="47"/>
      <c r="AY16" s="47"/>
      <c r="AZ16" s="47"/>
      <c r="BA16" s="47"/>
      <c r="BB16" s="49"/>
      <c r="BC16" s="157"/>
      <c r="BD16" s="157"/>
      <c r="BE16" s="157"/>
    </row>
    <row r="17" spans="1:57" s="160" customFormat="1" ht="75.599999999999994" customHeight="1" x14ac:dyDescent="0.3">
      <c r="A17" s="131" t="s">
        <v>70</v>
      </c>
      <c r="B17" s="174" t="s">
        <v>107</v>
      </c>
      <c r="C17" s="311" t="s">
        <v>63</v>
      </c>
      <c r="D17" s="132">
        <v>44136</v>
      </c>
      <c r="E17" s="132">
        <v>44681</v>
      </c>
      <c r="F17" s="133">
        <v>6</v>
      </c>
      <c r="G17" s="40" t="s">
        <v>113</v>
      </c>
      <c r="H17" s="41" t="s">
        <v>113</v>
      </c>
      <c r="I17" s="165" t="s">
        <v>151</v>
      </c>
      <c r="J17" s="190" t="s">
        <v>140</v>
      </c>
      <c r="K17" s="192">
        <v>1</v>
      </c>
      <c r="L17" s="192">
        <v>0.1</v>
      </c>
      <c r="M17" s="165" t="s">
        <v>128</v>
      </c>
      <c r="N17" s="191" t="s">
        <v>141</v>
      </c>
      <c r="O17" s="40" t="s">
        <v>113</v>
      </c>
      <c r="P17" s="41" t="s">
        <v>113</v>
      </c>
      <c r="Q17" s="165" t="s">
        <v>193</v>
      </c>
      <c r="R17" s="191" t="s">
        <v>167</v>
      </c>
      <c r="S17" s="201">
        <v>1</v>
      </c>
      <c r="T17" s="201">
        <v>0.25</v>
      </c>
      <c r="U17" s="165" t="s">
        <v>128</v>
      </c>
      <c r="V17" s="202" t="s">
        <v>168</v>
      </c>
      <c r="W17" s="40" t="s">
        <v>113</v>
      </c>
      <c r="X17" s="41" t="s">
        <v>113</v>
      </c>
      <c r="Y17" s="207" t="s">
        <v>276</v>
      </c>
      <c r="Z17" s="208" t="s">
        <v>279</v>
      </c>
      <c r="AA17" s="41" t="s">
        <v>127</v>
      </c>
      <c r="AB17" s="41" t="s">
        <v>214</v>
      </c>
      <c r="AC17" s="207" t="s">
        <v>128</v>
      </c>
      <c r="AD17" s="221" t="s">
        <v>280</v>
      </c>
      <c r="AE17" s="40" t="s">
        <v>113</v>
      </c>
      <c r="AF17" s="41" t="s">
        <v>113</v>
      </c>
      <c r="AG17" s="207" t="s">
        <v>305</v>
      </c>
      <c r="AH17" s="208" t="s">
        <v>321</v>
      </c>
      <c r="AI17" s="207" t="s">
        <v>127</v>
      </c>
      <c r="AJ17" s="207" t="s">
        <v>290</v>
      </c>
      <c r="AK17" s="207" t="s">
        <v>128</v>
      </c>
      <c r="AL17" s="242" t="s">
        <v>322</v>
      </c>
      <c r="AM17" s="59" t="s">
        <v>113</v>
      </c>
      <c r="AN17" s="43"/>
      <c r="AO17" s="43"/>
      <c r="AP17" s="43"/>
      <c r="AQ17" s="43"/>
      <c r="AR17" s="43"/>
      <c r="AS17" s="43"/>
      <c r="AT17" s="44"/>
      <c r="AU17" s="42" t="s">
        <v>113</v>
      </c>
      <c r="AV17" s="43"/>
      <c r="AW17" s="43"/>
      <c r="AX17" s="43"/>
      <c r="AY17" s="43"/>
      <c r="AZ17" s="43"/>
      <c r="BA17" s="43"/>
      <c r="BB17" s="45"/>
      <c r="BC17" s="157"/>
      <c r="BD17" s="157"/>
      <c r="BE17" s="157"/>
    </row>
    <row r="18" spans="1:57" s="160" customFormat="1" ht="212.25" customHeight="1" x14ac:dyDescent="0.3">
      <c r="A18" s="131" t="s">
        <v>71</v>
      </c>
      <c r="B18" s="175" t="s">
        <v>108</v>
      </c>
      <c r="C18" s="311"/>
      <c r="D18" s="132">
        <v>44136</v>
      </c>
      <c r="E18" s="132">
        <v>44681</v>
      </c>
      <c r="F18" s="133">
        <v>6</v>
      </c>
      <c r="G18" s="40" t="s">
        <v>113</v>
      </c>
      <c r="H18" s="41" t="s">
        <v>113</v>
      </c>
      <c r="I18" s="165" t="s">
        <v>153</v>
      </c>
      <c r="J18" s="190" t="s">
        <v>142</v>
      </c>
      <c r="K18" s="192">
        <v>1</v>
      </c>
      <c r="L18" s="192">
        <v>0.1</v>
      </c>
      <c r="M18" s="165" t="s">
        <v>128</v>
      </c>
      <c r="N18" s="191" t="s">
        <v>143</v>
      </c>
      <c r="O18" s="40" t="s">
        <v>113</v>
      </c>
      <c r="P18" s="41" t="s">
        <v>113</v>
      </c>
      <c r="Q18" s="165" t="s">
        <v>194</v>
      </c>
      <c r="R18" s="191" t="s">
        <v>209</v>
      </c>
      <c r="S18" s="201">
        <v>0.95</v>
      </c>
      <c r="T18" s="201">
        <v>0.4</v>
      </c>
      <c r="U18" s="165" t="s">
        <v>211</v>
      </c>
      <c r="V18" s="202" t="s">
        <v>212</v>
      </c>
      <c r="W18" s="40" t="s">
        <v>113</v>
      </c>
      <c r="X18" s="41" t="s">
        <v>113</v>
      </c>
      <c r="Y18" s="207" t="s">
        <v>194</v>
      </c>
      <c r="Z18" s="208" t="s">
        <v>288</v>
      </c>
      <c r="AA18" s="41" t="s">
        <v>127</v>
      </c>
      <c r="AB18" s="41" t="s">
        <v>214</v>
      </c>
      <c r="AC18" s="207" t="s">
        <v>128</v>
      </c>
      <c r="AD18" s="221" t="s">
        <v>289</v>
      </c>
      <c r="AE18" s="40" t="s">
        <v>113</v>
      </c>
      <c r="AF18" s="41" t="s">
        <v>113</v>
      </c>
      <c r="AG18" s="207" t="s">
        <v>306</v>
      </c>
      <c r="AH18" s="208" t="s">
        <v>327</v>
      </c>
      <c r="AI18" s="207" t="s">
        <v>127</v>
      </c>
      <c r="AJ18" s="207" t="s">
        <v>223</v>
      </c>
      <c r="AK18" s="207" t="s">
        <v>128</v>
      </c>
      <c r="AL18" s="242" t="s">
        <v>328</v>
      </c>
      <c r="AM18" s="59" t="s">
        <v>113</v>
      </c>
      <c r="AN18" s="43"/>
      <c r="AO18" s="43"/>
      <c r="AP18" s="43"/>
      <c r="AQ18" s="43"/>
      <c r="AR18" s="43"/>
      <c r="AS18" s="43"/>
      <c r="AT18" s="44"/>
      <c r="AU18" s="42" t="s">
        <v>113</v>
      </c>
      <c r="AV18" s="43"/>
      <c r="AW18" s="43"/>
      <c r="AX18" s="43"/>
      <c r="AY18" s="43"/>
      <c r="AZ18" s="43"/>
      <c r="BA18" s="43"/>
      <c r="BB18" s="45"/>
      <c r="BC18" s="157"/>
      <c r="BD18" s="157"/>
      <c r="BE18" s="157"/>
    </row>
    <row r="19" spans="1:57" s="160" customFormat="1" ht="53.25" customHeight="1" x14ac:dyDescent="0.3">
      <c r="A19" s="131" t="s">
        <v>72</v>
      </c>
      <c r="B19" s="138" t="s">
        <v>109</v>
      </c>
      <c r="C19" s="311"/>
      <c r="D19" s="132">
        <v>44228</v>
      </c>
      <c r="E19" s="132">
        <v>44681</v>
      </c>
      <c r="F19" s="133">
        <v>5</v>
      </c>
      <c r="G19" s="40"/>
      <c r="H19" s="41"/>
      <c r="I19" s="165" t="s">
        <v>134</v>
      </c>
      <c r="J19" s="166" t="s">
        <v>131</v>
      </c>
      <c r="K19" s="168"/>
      <c r="L19" s="168"/>
      <c r="M19" s="41"/>
      <c r="N19" s="64"/>
      <c r="O19" s="40" t="s">
        <v>113</v>
      </c>
      <c r="P19" s="41" t="s">
        <v>113</v>
      </c>
      <c r="Q19" s="165" t="s">
        <v>203</v>
      </c>
      <c r="R19" s="166" t="s">
        <v>204</v>
      </c>
      <c r="S19" s="201">
        <v>1</v>
      </c>
      <c r="T19" s="201">
        <v>0.15</v>
      </c>
      <c r="U19" s="165" t="s">
        <v>128</v>
      </c>
      <c r="V19" s="202" t="s">
        <v>205</v>
      </c>
      <c r="W19" s="40" t="s">
        <v>113</v>
      </c>
      <c r="X19" s="41" t="s">
        <v>113</v>
      </c>
      <c r="Y19" s="207" t="s">
        <v>134</v>
      </c>
      <c r="Z19" s="208" t="s">
        <v>285</v>
      </c>
      <c r="AA19" s="41" t="s">
        <v>127</v>
      </c>
      <c r="AB19" s="41" t="s">
        <v>283</v>
      </c>
      <c r="AC19" s="207" t="s">
        <v>128</v>
      </c>
      <c r="AD19" s="221" t="s">
        <v>284</v>
      </c>
      <c r="AE19" s="40" t="s">
        <v>113</v>
      </c>
      <c r="AF19" s="41" t="s">
        <v>113</v>
      </c>
      <c r="AG19" s="207" t="s">
        <v>134</v>
      </c>
      <c r="AH19" s="208" t="s">
        <v>304</v>
      </c>
      <c r="AI19" s="207" t="s">
        <v>127</v>
      </c>
      <c r="AJ19" s="245" t="s">
        <v>317</v>
      </c>
      <c r="AK19" s="207" t="s">
        <v>128</v>
      </c>
      <c r="AL19" s="246" t="s">
        <v>323</v>
      </c>
      <c r="AM19" s="59" t="s">
        <v>113</v>
      </c>
      <c r="AN19" s="43"/>
      <c r="AO19" s="43"/>
      <c r="AP19" s="43"/>
      <c r="AQ19" s="43"/>
      <c r="AR19" s="43"/>
      <c r="AS19" s="43"/>
      <c r="AT19" s="44"/>
      <c r="AU19" s="42" t="s">
        <v>113</v>
      </c>
      <c r="AV19" s="43"/>
      <c r="AW19" s="43"/>
      <c r="AX19" s="43"/>
      <c r="AY19" s="43"/>
      <c r="AZ19" s="43"/>
      <c r="BA19" s="43"/>
      <c r="BB19" s="45"/>
      <c r="BC19" s="157"/>
      <c r="BD19" s="157"/>
      <c r="BE19" s="157"/>
    </row>
    <row r="20" spans="1:57" s="160" customFormat="1" x14ac:dyDescent="0.3">
      <c r="A20" s="139">
        <v>4</v>
      </c>
      <c r="B20" s="134" t="s">
        <v>110</v>
      </c>
      <c r="C20" s="176"/>
      <c r="D20" s="136"/>
      <c r="E20" s="136"/>
      <c r="F20" s="137"/>
      <c r="G20" s="46"/>
      <c r="H20" s="47"/>
      <c r="I20" s="47"/>
      <c r="J20" s="47"/>
      <c r="K20" s="169"/>
      <c r="L20" s="169"/>
      <c r="M20" s="47"/>
      <c r="N20" s="54"/>
      <c r="O20" s="46"/>
      <c r="P20" s="47"/>
      <c r="Q20" s="47"/>
      <c r="R20" s="47"/>
      <c r="S20" s="47"/>
      <c r="T20" s="47"/>
      <c r="U20" s="47"/>
      <c r="V20" s="51"/>
      <c r="W20" s="46"/>
      <c r="X20" s="47"/>
      <c r="Y20" s="47"/>
      <c r="Z20" s="47"/>
      <c r="AA20" s="47"/>
      <c r="AB20" s="47"/>
      <c r="AC20" s="47"/>
      <c r="AD20" s="48"/>
      <c r="AE20" s="46"/>
      <c r="AF20" s="47"/>
      <c r="AG20" s="47"/>
      <c r="AH20" s="47"/>
      <c r="AI20" s="47"/>
      <c r="AJ20" s="47"/>
      <c r="AK20" s="47"/>
      <c r="AL20" s="49"/>
      <c r="AM20" s="50"/>
      <c r="AN20" s="47"/>
      <c r="AO20" s="47"/>
      <c r="AP20" s="47"/>
      <c r="AQ20" s="47"/>
      <c r="AR20" s="47"/>
      <c r="AS20" s="47"/>
      <c r="AT20" s="48"/>
      <c r="AU20" s="46"/>
      <c r="AV20" s="47"/>
      <c r="AW20" s="47"/>
      <c r="AX20" s="47"/>
      <c r="AY20" s="47"/>
      <c r="AZ20" s="47"/>
      <c r="BA20" s="47"/>
      <c r="BB20" s="49"/>
      <c r="BC20" s="157"/>
      <c r="BD20" s="157"/>
      <c r="BE20" s="157"/>
    </row>
    <row r="21" spans="1:57" s="160" customFormat="1" ht="198" customHeight="1" x14ac:dyDescent="0.3">
      <c r="A21" s="131" t="s">
        <v>73</v>
      </c>
      <c r="B21" s="140" t="s">
        <v>111</v>
      </c>
      <c r="C21" s="311" t="s">
        <v>63</v>
      </c>
      <c r="D21" s="132">
        <v>44136</v>
      </c>
      <c r="E21" s="132">
        <v>44681</v>
      </c>
      <c r="F21" s="133">
        <v>6</v>
      </c>
      <c r="G21" s="40" t="s">
        <v>113</v>
      </c>
      <c r="H21" s="41" t="s">
        <v>113</v>
      </c>
      <c r="I21" s="165" t="s">
        <v>152</v>
      </c>
      <c r="J21" s="166" t="s">
        <v>130</v>
      </c>
      <c r="K21" s="168" t="s">
        <v>127</v>
      </c>
      <c r="L21" s="168">
        <v>0.2</v>
      </c>
      <c r="M21" s="165" t="s">
        <v>128</v>
      </c>
      <c r="N21" s="170" t="s">
        <v>135</v>
      </c>
      <c r="O21" s="40" t="s">
        <v>113</v>
      </c>
      <c r="P21" s="41" t="s">
        <v>113</v>
      </c>
      <c r="Q21" s="165" t="s">
        <v>152</v>
      </c>
      <c r="R21" s="166" t="s">
        <v>299</v>
      </c>
      <c r="S21" s="41" t="s">
        <v>127</v>
      </c>
      <c r="T21" s="41" t="s">
        <v>170</v>
      </c>
      <c r="U21" s="165" t="s">
        <v>128</v>
      </c>
      <c r="V21" s="170" t="s">
        <v>164</v>
      </c>
      <c r="W21" s="40" t="s">
        <v>113</v>
      </c>
      <c r="X21" s="41" t="s">
        <v>113</v>
      </c>
      <c r="Y21" s="207" t="s">
        <v>152</v>
      </c>
      <c r="Z21" s="208" t="s">
        <v>213</v>
      </c>
      <c r="AA21" s="206" t="s">
        <v>127</v>
      </c>
      <c r="AB21" s="41" t="s">
        <v>214</v>
      </c>
      <c r="AC21" s="207" t="s">
        <v>128</v>
      </c>
      <c r="AD21" s="170" t="s">
        <v>215</v>
      </c>
      <c r="AE21" s="40" t="s">
        <v>113</v>
      </c>
      <c r="AF21" s="206" t="s">
        <v>113</v>
      </c>
      <c r="AG21" s="207" t="s">
        <v>152</v>
      </c>
      <c r="AH21" s="208" t="s">
        <v>297</v>
      </c>
      <c r="AI21" s="206" t="s">
        <v>127</v>
      </c>
      <c r="AJ21" s="41" t="s">
        <v>298</v>
      </c>
      <c r="AK21" s="207" t="s">
        <v>128</v>
      </c>
      <c r="AL21" s="242" t="s">
        <v>324</v>
      </c>
      <c r="AM21" s="59" t="s">
        <v>113</v>
      </c>
      <c r="AN21" s="43"/>
      <c r="AO21" s="43"/>
      <c r="AP21" s="43"/>
      <c r="AQ21" s="43"/>
      <c r="AR21" s="43"/>
      <c r="AS21" s="43"/>
      <c r="AT21" s="44"/>
      <c r="AU21" s="42" t="s">
        <v>113</v>
      </c>
      <c r="AV21" s="43"/>
      <c r="AW21" s="43"/>
      <c r="AX21" s="43"/>
      <c r="AY21" s="43"/>
      <c r="AZ21" s="43"/>
      <c r="BA21" s="43"/>
      <c r="BB21" s="45"/>
      <c r="BC21" s="157"/>
      <c r="BD21" s="157"/>
      <c r="BE21" s="157"/>
    </row>
    <row r="22" spans="1:57" s="160" customFormat="1" ht="67.2" customHeight="1" thickBot="1" x14ac:dyDescent="0.35">
      <c r="A22" s="141" t="s">
        <v>74</v>
      </c>
      <c r="B22" s="142" t="s">
        <v>112</v>
      </c>
      <c r="C22" s="312"/>
      <c r="D22" s="143">
        <v>44136</v>
      </c>
      <c r="E22" s="143">
        <v>44681</v>
      </c>
      <c r="F22" s="144">
        <v>6</v>
      </c>
      <c r="G22" s="180" t="s">
        <v>113</v>
      </c>
      <c r="H22" s="181" t="s">
        <v>113</v>
      </c>
      <c r="I22" s="182" t="s">
        <v>152</v>
      </c>
      <c r="J22" s="167" t="s">
        <v>126</v>
      </c>
      <c r="K22" s="183" t="s">
        <v>127</v>
      </c>
      <c r="L22" s="183">
        <v>0.2</v>
      </c>
      <c r="M22" s="182" t="s">
        <v>128</v>
      </c>
      <c r="N22" s="171" t="s">
        <v>129</v>
      </c>
      <c r="O22" s="180" t="s">
        <v>113</v>
      </c>
      <c r="P22" s="181" t="s">
        <v>113</v>
      </c>
      <c r="Q22" s="182" t="s">
        <v>152</v>
      </c>
      <c r="R22" s="167" t="s">
        <v>160</v>
      </c>
      <c r="S22" s="181" t="s">
        <v>127</v>
      </c>
      <c r="T22" s="181" t="s">
        <v>169</v>
      </c>
      <c r="U22" s="182" t="s">
        <v>128</v>
      </c>
      <c r="V22" s="200" t="s">
        <v>161</v>
      </c>
      <c r="W22" s="180" t="s">
        <v>113</v>
      </c>
      <c r="X22" s="181" t="s">
        <v>113</v>
      </c>
      <c r="Y22" s="182" t="s">
        <v>152</v>
      </c>
      <c r="Z22" s="167" t="s">
        <v>286</v>
      </c>
      <c r="AA22" s="181" t="s">
        <v>127</v>
      </c>
      <c r="AB22" s="181" t="s">
        <v>214</v>
      </c>
      <c r="AC22" s="182" t="s">
        <v>128</v>
      </c>
      <c r="AD22" s="200" t="s">
        <v>216</v>
      </c>
      <c r="AE22" s="180" t="s">
        <v>113</v>
      </c>
      <c r="AF22" s="181" t="s">
        <v>113</v>
      </c>
      <c r="AG22" s="182" t="s">
        <v>152</v>
      </c>
      <c r="AH22" s="167" t="s">
        <v>294</v>
      </c>
      <c r="AI22" s="181" t="s">
        <v>127</v>
      </c>
      <c r="AJ22" s="181" t="s">
        <v>290</v>
      </c>
      <c r="AK22" s="182" t="s">
        <v>128</v>
      </c>
      <c r="AL22" s="243" t="s">
        <v>295</v>
      </c>
      <c r="AM22" s="184" t="s">
        <v>113</v>
      </c>
      <c r="AN22" s="185"/>
      <c r="AO22" s="185"/>
      <c r="AP22" s="185"/>
      <c r="AQ22" s="185"/>
      <c r="AR22" s="185"/>
      <c r="AS22" s="185"/>
      <c r="AT22" s="186"/>
      <c r="AU22" s="187" t="s">
        <v>113</v>
      </c>
      <c r="AV22" s="43"/>
      <c r="AW22" s="43"/>
      <c r="AX22" s="43"/>
      <c r="AY22" s="43"/>
      <c r="AZ22" s="43"/>
      <c r="BA22" s="43"/>
      <c r="BB22" s="45"/>
      <c r="BC22" s="157"/>
      <c r="BD22" s="157"/>
      <c r="BE22" s="157"/>
    </row>
    <row r="23" spans="1:57" x14ac:dyDescent="0.3">
      <c r="A23"/>
      <c r="B23"/>
      <c r="C23"/>
      <c r="D23"/>
      <c r="E23"/>
      <c r="F23"/>
      <c r="O23" s="16"/>
      <c r="W23" s="16"/>
    </row>
    <row r="24" spans="1:57" x14ac:dyDescent="0.3">
      <c r="A24"/>
      <c r="B24"/>
      <c r="C24"/>
      <c r="D24"/>
      <c r="E24"/>
      <c r="F24"/>
      <c r="O24" s="16"/>
      <c r="W24" s="16"/>
    </row>
    <row r="25" spans="1:57" x14ac:dyDescent="0.3">
      <c r="A25"/>
      <c r="B25"/>
      <c r="C25"/>
      <c r="D25"/>
      <c r="E25"/>
      <c r="F25"/>
      <c r="O25" s="16"/>
      <c r="W25" s="16"/>
    </row>
    <row r="26" spans="1:57" x14ac:dyDescent="0.3">
      <c r="A26"/>
      <c r="B26"/>
      <c r="C26"/>
      <c r="D26"/>
      <c r="E26"/>
      <c r="F26"/>
      <c r="O26" s="16"/>
      <c r="W26" s="16"/>
    </row>
    <row r="27" spans="1:57" x14ac:dyDescent="0.3">
      <c r="A27"/>
      <c r="B27"/>
      <c r="C27"/>
      <c r="D27"/>
      <c r="E27"/>
      <c r="F27"/>
      <c r="K27" s="15"/>
      <c r="O27" s="16"/>
      <c r="W27" s="16"/>
    </row>
    <row r="28" spans="1:57" x14ac:dyDescent="0.3">
      <c r="A28"/>
      <c r="B28"/>
      <c r="C28"/>
      <c r="D28"/>
      <c r="E28"/>
      <c r="F28"/>
      <c r="K28" s="15"/>
      <c r="O28" s="16"/>
      <c r="W28" s="16"/>
    </row>
    <row r="29" spans="1:57" x14ac:dyDescent="0.3">
      <c r="A29"/>
      <c r="B29"/>
      <c r="C29"/>
      <c r="D29"/>
      <c r="E29"/>
      <c r="F29"/>
      <c r="K29" s="15"/>
      <c r="O29" s="16"/>
      <c r="W29" s="16"/>
    </row>
    <row r="30" spans="1:57" x14ac:dyDescent="0.3">
      <c r="A30"/>
      <c r="B30"/>
      <c r="C30"/>
      <c r="D30"/>
      <c r="E30"/>
      <c r="F30"/>
      <c r="O30" s="16"/>
      <c r="W30" s="16"/>
    </row>
    <row r="31" spans="1:57" x14ac:dyDescent="0.3">
      <c r="A31"/>
      <c r="B31"/>
      <c r="C31"/>
      <c r="D31"/>
      <c r="E31"/>
      <c r="F31"/>
      <c r="O31" s="16"/>
      <c r="W31" s="16"/>
    </row>
    <row r="32" spans="1:57" x14ac:dyDescent="0.3">
      <c r="A32"/>
      <c r="B32"/>
      <c r="C32"/>
      <c r="D32"/>
      <c r="E32"/>
      <c r="F32"/>
      <c r="O32" s="16"/>
      <c r="W32" s="16"/>
    </row>
    <row r="33" spans="1:54" x14ac:dyDescent="0.3">
      <c r="A33"/>
      <c r="B33"/>
      <c r="C33"/>
      <c r="D33"/>
      <c r="E33"/>
      <c r="F33"/>
      <c r="O33" s="16"/>
      <c r="W33" s="16"/>
    </row>
    <row r="34" spans="1:54" x14ac:dyDescent="0.3">
      <c r="A34"/>
      <c r="B34"/>
      <c r="C34"/>
      <c r="D34"/>
      <c r="E34"/>
      <c r="F34"/>
      <c r="O34" s="16"/>
      <c r="W34" s="16"/>
    </row>
    <row r="35" spans="1:54" x14ac:dyDescent="0.3">
      <c r="A35"/>
      <c r="B35"/>
      <c r="C35"/>
      <c r="D35"/>
      <c r="E35"/>
      <c r="F35"/>
      <c r="O35" s="16"/>
      <c r="W35" s="16"/>
    </row>
    <row r="36" spans="1:54" x14ac:dyDescent="0.3">
      <c r="A36"/>
      <c r="B36"/>
      <c r="C36"/>
      <c r="D36"/>
      <c r="E36"/>
      <c r="F36"/>
      <c r="O36" s="16"/>
      <c r="W36" s="16"/>
    </row>
    <row r="37" spans="1:54" x14ac:dyDescent="0.3">
      <c r="A37"/>
      <c r="B37"/>
      <c r="C37"/>
      <c r="D37"/>
      <c r="E37"/>
      <c r="F37"/>
      <c r="O37" s="16"/>
      <c r="W37" s="16"/>
    </row>
    <row r="38" spans="1:54" x14ac:dyDescent="0.3">
      <c r="A38"/>
      <c r="B38"/>
      <c r="C38"/>
      <c r="D38"/>
      <c r="E38"/>
      <c r="F38"/>
      <c r="O38" s="16"/>
      <c r="W38" s="16"/>
    </row>
    <row r="39" spans="1:54" x14ac:dyDescent="0.3">
      <c r="A39"/>
      <c r="B39"/>
      <c r="C39"/>
      <c r="D39"/>
      <c r="E39"/>
      <c r="F39"/>
      <c r="O39" s="16"/>
      <c r="W39" s="16"/>
    </row>
    <row r="40" spans="1:54" x14ac:dyDescent="0.3">
      <c r="A40"/>
      <c r="B40"/>
      <c r="C40"/>
      <c r="D40"/>
      <c r="E40"/>
      <c r="F40"/>
      <c r="O40" s="16"/>
      <c r="W40" s="16"/>
    </row>
    <row r="41" spans="1:54" x14ac:dyDescent="0.3">
      <c r="A41"/>
      <c r="B41"/>
      <c r="C41"/>
      <c r="D41"/>
      <c r="E41"/>
      <c r="F41"/>
      <c r="O41" s="16"/>
      <c r="W41" s="16"/>
    </row>
    <row r="42" spans="1:54" x14ac:dyDescent="0.3">
      <c r="A42"/>
      <c r="B42"/>
      <c r="C42"/>
      <c r="D42"/>
      <c r="E42"/>
      <c r="F42"/>
      <c r="O42" s="16"/>
      <c r="W42" s="16"/>
    </row>
    <row r="43" spans="1:54" x14ac:dyDescent="0.3">
      <c r="A43"/>
      <c r="B43"/>
      <c r="C43"/>
      <c r="D43"/>
      <c r="E43"/>
      <c r="F43"/>
      <c r="O43" s="16"/>
      <c r="W43" s="16"/>
    </row>
    <row r="44" spans="1:54" x14ac:dyDescent="0.3">
      <c r="A44"/>
      <c r="B44"/>
      <c r="C44"/>
      <c r="D44"/>
      <c r="E44"/>
      <c r="F44"/>
      <c r="O44" s="16"/>
      <c r="W44" s="16"/>
    </row>
    <row r="45" spans="1:54" x14ac:dyDescent="0.3">
      <c r="A45"/>
      <c r="B45"/>
      <c r="C45"/>
      <c r="D45"/>
      <c r="E45"/>
      <c r="F45"/>
      <c r="O45" s="16"/>
      <c r="W45" s="16"/>
    </row>
    <row r="46" spans="1:54" x14ac:dyDescent="0.3">
      <c r="A46"/>
      <c r="B46"/>
      <c r="C46"/>
      <c r="D46"/>
      <c r="E46"/>
      <c r="F46"/>
      <c r="O46" s="16"/>
      <c r="W46" s="16"/>
    </row>
    <row r="47" spans="1:54" s="15" customFormat="1" x14ac:dyDescent="0.3">
      <c r="A47" s="21"/>
      <c r="B47" s="21"/>
      <c r="C47" s="21"/>
      <c r="D47" s="21"/>
      <c r="E47" s="21"/>
      <c r="F47" s="21"/>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row>
    <row r="48" spans="1:54" x14ac:dyDescent="0.3">
      <c r="A48" s="26"/>
      <c r="B48" s="29"/>
      <c r="C48" s="29"/>
      <c r="D48" s="29"/>
      <c r="E48" s="29"/>
      <c r="F48" s="21"/>
      <c r="O48" s="16"/>
      <c r="W48" s="16"/>
    </row>
    <row r="49" spans="1:54" x14ac:dyDescent="0.3">
      <c r="A49" s="26"/>
      <c r="B49" s="29"/>
      <c r="C49" s="29"/>
      <c r="D49" s="29"/>
      <c r="E49" s="29"/>
      <c r="F49" s="21"/>
      <c r="O49" s="16"/>
      <c r="W49" s="16"/>
    </row>
    <row r="50" spans="1:54" x14ac:dyDescent="0.3">
      <c r="A50" s="26"/>
      <c r="B50" s="29"/>
      <c r="C50" s="29"/>
      <c r="D50" s="29"/>
      <c r="E50" s="29"/>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row>
    <row r="51" spans="1:54" x14ac:dyDescent="0.3">
      <c r="A51" s="26"/>
      <c r="B51" s="29"/>
      <c r="C51" s="29"/>
      <c r="D51" s="29"/>
      <c r="E51" s="29"/>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row>
    <row r="52" spans="1:54" x14ac:dyDescent="0.3">
      <c r="A52" s="26"/>
      <c r="B52" s="29"/>
      <c r="C52" s="29"/>
      <c r="D52" s="29"/>
      <c r="E52" s="29"/>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row>
    <row r="53" spans="1:54" x14ac:dyDescent="0.3">
      <c r="A53" s="26"/>
      <c r="B53" s="29"/>
      <c r="C53" s="29"/>
      <c r="D53" s="29"/>
      <c r="E53" s="29"/>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row>
    <row r="54" spans="1:54" x14ac:dyDescent="0.3">
      <c r="A54" s="26"/>
      <c r="B54" s="29"/>
      <c r="C54" s="29"/>
      <c r="D54" s="29"/>
      <c r="E54" s="29"/>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row>
    <row r="55" spans="1:54" x14ac:dyDescent="0.3">
      <c r="A55" s="26"/>
      <c r="B55" s="29"/>
      <c r="C55" s="29"/>
      <c r="D55" s="29"/>
      <c r="E55" s="29"/>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row>
    <row r="56" spans="1:54" x14ac:dyDescent="0.3">
      <c r="A56" s="26"/>
      <c r="B56" s="29"/>
      <c r="C56" s="29"/>
      <c r="D56" s="29"/>
      <c r="E56" s="29"/>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row>
    <row r="57" spans="1:54" x14ac:dyDescent="0.3">
      <c r="A57" s="26"/>
      <c r="B57" s="29"/>
      <c r="C57" s="29"/>
      <c r="D57" s="29"/>
      <c r="E57" s="29"/>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row>
  </sheetData>
  <mergeCells count="76">
    <mergeCell ref="C17:C19"/>
    <mergeCell ref="C21:C22"/>
    <mergeCell ref="I4:I8"/>
    <mergeCell ref="J4:M5"/>
    <mergeCell ref="N4:N8"/>
    <mergeCell ref="G4:H4"/>
    <mergeCell ref="C10:C11"/>
    <mergeCell ref="C13:C15"/>
    <mergeCell ref="K6:K8"/>
    <mergeCell ref="L6:L8"/>
    <mergeCell ref="M6:M8"/>
    <mergeCell ref="J6:J8"/>
    <mergeCell ref="G6:G8"/>
    <mergeCell ref="H6:H8"/>
    <mergeCell ref="AG4:AG8"/>
    <mergeCell ref="T6:T8"/>
    <mergeCell ref="U6:U8"/>
    <mergeCell ref="Z6:Z8"/>
    <mergeCell ref="AA6:AA8"/>
    <mergeCell ref="AB6:AB8"/>
    <mergeCell ref="AC6:AC8"/>
    <mergeCell ref="AF6:AF8"/>
    <mergeCell ref="AE6:AE8"/>
    <mergeCell ref="AE4:AF4"/>
    <mergeCell ref="Q4:Q8"/>
    <mergeCell ref="O4:P4"/>
    <mergeCell ref="Y4:Y8"/>
    <mergeCell ref="Z4:AC5"/>
    <mergeCell ref="AD4:AD8"/>
    <mergeCell ref="X6:X8"/>
    <mergeCell ref="R6:R8"/>
    <mergeCell ref="S6:S8"/>
    <mergeCell ref="W6:W8"/>
    <mergeCell ref="W4:X4"/>
    <mergeCell ref="R4:U5"/>
    <mergeCell ref="V4:V8"/>
    <mergeCell ref="O6:O8"/>
    <mergeCell ref="P6:P8"/>
    <mergeCell ref="AM6:AM8"/>
    <mergeCell ref="AN6:AN8"/>
    <mergeCell ref="AV6:AV8"/>
    <mergeCell ref="AU6:AU8"/>
    <mergeCell ref="AH6:AH8"/>
    <mergeCell ref="AL4:AL8"/>
    <mergeCell ref="AO4:AO8"/>
    <mergeCell ref="AH4:AK5"/>
    <mergeCell ref="AI6:AI8"/>
    <mergeCell ref="AJ6:AJ8"/>
    <mergeCell ref="AK6:AK8"/>
    <mergeCell ref="AP4:AS5"/>
    <mergeCell ref="AT4:AT8"/>
    <mergeCell ref="AP6:AP8"/>
    <mergeCell ref="AX6:AX8"/>
    <mergeCell ref="AY6:AY8"/>
    <mergeCell ref="AZ6:AZ8"/>
    <mergeCell ref="AU2:BB2"/>
    <mergeCell ref="AM3:AT3"/>
    <mergeCell ref="AU3:BB3"/>
    <mergeCell ref="AM2:AT2"/>
    <mergeCell ref="BA6:BA8"/>
    <mergeCell ref="AW4:AW8"/>
    <mergeCell ref="AX4:BA5"/>
    <mergeCell ref="BB4:BB8"/>
    <mergeCell ref="AQ6:AQ8"/>
    <mergeCell ref="AR6:AR8"/>
    <mergeCell ref="AS6:AS8"/>
    <mergeCell ref="AM4:AN4"/>
    <mergeCell ref="AU4:AV4"/>
    <mergeCell ref="W3:AD3"/>
    <mergeCell ref="W2:AD2"/>
    <mergeCell ref="AE2:AL2"/>
    <mergeCell ref="AE3:AL3"/>
    <mergeCell ref="G2:N2"/>
    <mergeCell ref="G3:N3"/>
    <mergeCell ref="O3:V3"/>
    <mergeCell ref="O2:V2"/>
  </mergeCells>
  <pageMargins left="0.7" right="0.7" top="0.75" bottom="0.75" header="0.3" footer="0.3"/>
  <pageSetup paperSize="9" orientation="portrait" r:id="rId1"/>
  <ignoredErrors>
    <ignoredError sqref="K21:K22 S22:T22 S21:T21 S13:T14 S15:T15 S10:T11 AA21:AA22 AB21:AB22 AA13:AB15 AA10:AB11 AA17:AB17 AA18:AB19 AI22:AJ22 AI21 AI10:AJ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G12" sqref="G12"/>
    </sheetView>
  </sheetViews>
  <sheetFormatPr defaultColWidth="8.88671875" defaultRowHeight="14.4" x14ac:dyDescent="0.3"/>
  <cols>
    <col min="1" max="1" width="21.6640625" customWidth="1"/>
    <col min="2" max="5" width="15.109375" customWidth="1"/>
  </cols>
  <sheetData>
    <row r="1" spans="1:5" ht="18.600000000000001" customHeight="1" x14ac:dyDescent="0.3">
      <c r="A1" s="5"/>
    </row>
    <row r="2" spans="1:5" ht="17.399999999999999" customHeight="1" x14ac:dyDescent="0.3">
      <c r="A2" s="5"/>
    </row>
    <row r="3" spans="1:5" ht="17.399999999999999" customHeight="1" x14ac:dyDescent="0.3">
      <c r="A3" s="5"/>
    </row>
    <row r="4" spans="1:5" x14ac:dyDescent="0.3">
      <c r="A4" s="328" t="s">
        <v>98</v>
      </c>
      <c r="B4" s="328"/>
      <c r="C4" s="328"/>
      <c r="D4" s="328"/>
      <c r="E4" s="328"/>
    </row>
    <row r="5" spans="1:5" x14ac:dyDescent="0.3">
      <c r="A5" s="326" t="s">
        <v>39</v>
      </c>
      <c r="B5" s="326"/>
      <c r="C5" s="326"/>
      <c r="D5" s="326"/>
      <c r="E5" s="326"/>
    </row>
    <row r="6" spans="1:5" s="16" customFormat="1" ht="28.2" customHeight="1" x14ac:dyDescent="0.3">
      <c r="A6" s="324" t="s">
        <v>319</v>
      </c>
      <c r="B6" s="325"/>
      <c r="C6" s="325"/>
      <c r="D6" s="325"/>
      <c r="E6" s="325"/>
    </row>
    <row r="7" spans="1:5" s="16" customFormat="1" x14ac:dyDescent="0.3">
      <c r="A7" s="325"/>
      <c r="B7" s="325"/>
      <c r="C7" s="325"/>
      <c r="D7" s="325"/>
      <c r="E7" s="325"/>
    </row>
    <row r="8" spans="1:5" s="16" customFormat="1" x14ac:dyDescent="0.3">
      <c r="A8" s="331"/>
      <c r="B8" s="331"/>
      <c r="C8" s="331"/>
      <c r="D8" s="331"/>
      <c r="E8" s="331"/>
    </row>
    <row r="9" spans="1:5" ht="15" customHeight="1" x14ac:dyDescent="0.3">
      <c r="A9" s="332"/>
      <c r="B9" s="332"/>
      <c r="C9" s="332"/>
      <c r="D9" s="332"/>
      <c r="E9" s="332"/>
    </row>
    <row r="10" spans="1:5" s="125" customFormat="1" x14ac:dyDescent="0.3">
      <c r="A10" s="329" t="s">
        <v>96</v>
      </c>
      <c r="B10" s="329"/>
      <c r="C10" s="329"/>
      <c r="D10" s="329"/>
      <c r="E10" s="329"/>
    </row>
    <row r="11" spans="1:5" s="125" customFormat="1" ht="31.95" customHeight="1" x14ac:dyDescent="0.3">
      <c r="A11" s="334" t="s">
        <v>316</v>
      </c>
      <c r="B11" s="334"/>
      <c r="C11" s="334"/>
      <c r="D11" s="334"/>
      <c r="E11" s="334"/>
    </row>
    <row r="12" spans="1:5" s="16" customFormat="1" ht="43.2" customHeight="1" x14ac:dyDescent="0.3">
      <c r="A12" s="330" t="s">
        <v>281</v>
      </c>
      <c r="B12" s="330"/>
      <c r="C12" s="330"/>
      <c r="D12" s="330"/>
      <c r="E12" s="330"/>
    </row>
    <row r="13" spans="1:5" s="16" customFormat="1" ht="34.200000000000003" customHeight="1" x14ac:dyDescent="0.3">
      <c r="A13" s="330" t="s">
        <v>229</v>
      </c>
      <c r="B13" s="333"/>
      <c r="C13" s="333"/>
      <c r="D13" s="333"/>
      <c r="E13" s="333"/>
    </row>
    <row r="14" spans="1:5" ht="28.2" customHeight="1" x14ac:dyDescent="0.3">
      <c r="A14" s="336" t="s">
        <v>174</v>
      </c>
      <c r="B14" s="336"/>
      <c r="C14" s="336"/>
      <c r="D14" s="336"/>
      <c r="E14" s="336"/>
    </row>
    <row r="15" spans="1:5" s="16" customFormat="1" ht="29.4" customHeight="1" x14ac:dyDescent="0.3">
      <c r="A15" s="336" t="s">
        <v>166</v>
      </c>
      <c r="B15" s="336"/>
      <c r="C15" s="336"/>
      <c r="D15" s="336"/>
      <c r="E15" s="336"/>
    </row>
    <row r="16" spans="1:5" s="16" customFormat="1" ht="29.4" customHeight="1" x14ac:dyDescent="0.3">
      <c r="A16" s="336" t="s">
        <v>206</v>
      </c>
      <c r="B16" s="336"/>
      <c r="C16" s="336"/>
      <c r="D16" s="336"/>
      <c r="E16" s="336"/>
    </row>
    <row r="17" spans="1:5" s="16" customFormat="1" ht="30" customHeight="1" x14ac:dyDescent="0.3">
      <c r="A17" s="336" t="s">
        <v>207</v>
      </c>
      <c r="B17" s="336"/>
      <c r="C17" s="336"/>
      <c r="D17" s="336"/>
      <c r="E17" s="336"/>
    </row>
    <row r="18" spans="1:5" ht="15" customHeight="1" x14ac:dyDescent="0.3">
      <c r="A18" s="338" t="s">
        <v>208</v>
      </c>
      <c r="B18" s="338"/>
      <c r="C18" s="338"/>
      <c r="D18" s="338"/>
      <c r="E18" s="338"/>
    </row>
    <row r="19" spans="1:5" ht="43.2" customHeight="1" x14ac:dyDescent="0.3">
      <c r="A19" s="337" t="s">
        <v>210</v>
      </c>
      <c r="B19" s="337"/>
      <c r="C19" s="337"/>
      <c r="D19" s="337"/>
      <c r="E19" s="337"/>
    </row>
    <row r="20" spans="1:5" s="125" customFormat="1" ht="46.2" customHeight="1" x14ac:dyDescent="0.3">
      <c r="A20" s="335" t="s">
        <v>154</v>
      </c>
      <c r="B20" s="335"/>
      <c r="C20" s="335"/>
      <c r="D20" s="335"/>
      <c r="E20" s="335"/>
    </row>
    <row r="21" spans="1:5" s="125" customFormat="1" x14ac:dyDescent="0.3">
      <c r="A21" s="328" t="s">
        <v>121</v>
      </c>
      <c r="B21" s="328"/>
      <c r="C21" s="328"/>
      <c r="D21" s="328"/>
      <c r="E21" s="328"/>
    </row>
    <row r="22" spans="1:5" x14ac:dyDescent="0.3">
      <c r="A22" s="327" t="s">
        <v>40</v>
      </c>
      <c r="B22" s="327"/>
      <c r="C22" s="327"/>
      <c r="D22" s="327"/>
      <c r="E22" s="327"/>
    </row>
    <row r="23" spans="1:5" x14ac:dyDescent="0.3">
      <c r="A23" s="156" t="s">
        <v>125</v>
      </c>
    </row>
    <row r="27" spans="1:5" s="125" customFormat="1" x14ac:dyDescent="0.3">
      <c r="A27" s="329" t="s">
        <v>96</v>
      </c>
      <c r="B27" s="329"/>
      <c r="C27" s="329"/>
      <c r="D27" s="329"/>
      <c r="E27" s="329"/>
    </row>
    <row r="28" spans="1:5" x14ac:dyDescent="0.3">
      <c r="A28" s="156" t="s">
        <v>155</v>
      </c>
    </row>
  </sheetData>
  <mergeCells count="20">
    <mergeCell ref="A27:E27"/>
    <mergeCell ref="A21:E21"/>
    <mergeCell ref="A20:E20"/>
    <mergeCell ref="A15:E15"/>
    <mergeCell ref="A14:E14"/>
    <mergeCell ref="A19:E19"/>
    <mergeCell ref="A18:E18"/>
    <mergeCell ref="A17:E17"/>
    <mergeCell ref="A16:E16"/>
    <mergeCell ref="A6:E6"/>
    <mergeCell ref="A5:E5"/>
    <mergeCell ref="A22:E22"/>
    <mergeCell ref="A4:E4"/>
    <mergeCell ref="A10:E10"/>
    <mergeCell ref="A12:E12"/>
    <mergeCell ref="A7:E7"/>
    <mergeCell ref="A8:E8"/>
    <mergeCell ref="A9:E9"/>
    <mergeCell ref="A13:E13"/>
    <mergeCell ref="A11:E1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Normal="100" workbookViewId="0">
      <selection activeCell="B11" sqref="B11"/>
    </sheetView>
  </sheetViews>
  <sheetFormatPr defaultColWidth="8.88671875" defaultRowHeight="14.4" x14ac:dyDescent="0.3"/>
  <cols>
    <col min="1" max="1" width="17.33203125" customWidth="1"/>
    <col min="2" max="2" width="19.5546875" customWidth="1"/>
    <col min="3" max="3" width="22.5546875" customWidth="1"/>
    <col min="4" max="4" width="19" customWidth="1"/>
    <col min="5" max="5" width="31.44140625" customWidth="1"/>
  </cols>
  <sheetData>
    <row r="1" spans="1:7" ht="18" customHeight="1" x14ac:dyDescent="0.3">
      <c r="A1" s="5"/>
    </row>
    <row r="2" spans="1:7" ht="19.2" customHeight="1" x14ac:dyDescent="0.3">
      <c r="A2" s="5"/>
    </row>
    <row r="3" spans="1:7" ht="16.2" customHeight="1" x14ac:dyDescent="0.3">
      <c r="A3" s="5"/>
    </row>
    <row r="4" spans="1:7" s="16" customFormat="1" x14ac:dyDescent="0.3">
      <c r="A4" s="339" t="s">
        <v>97</v>
      </c>
      <c r="B4" s="340"/>
      <c r="C4" s="340"/>
      <c r="D4" s="340"/>
      <c r="E4" s="340"/>
    </row>
    <row r="5" spans="1:7" ht="42" customHeight="1" x14ac:dyDescent="0.3">
      <c r="A5" s="341" t="s">
        <v>87</v>
      </c>
      <c r="B5" s="342"/>
      <c r="C5" s="342"/>
      <c r="D5" s="342"/>
      <c r="E5" s="342"/>
      <c r="G5" s="18"/>
    </row>
    <row r="6" spans="1:7" s="157" customFormat="1" ht="14.4" customHeight="1" x14ac:dyDescent="0.3">
      <c r="A6" s="235" t="s">
        <v>156</v>
      </c>
      <c r="B6" s="236"/>
      <c r="C6" s="236"/>
      <c r="D6" s="236"/>
      <c r="E6" s="236"/>
      <c r="G6" s="158"/>
    </row>
    <row r="7" spans="1:7" s="157" customFormat="1" ht="14.4" customHeight="1" x14ac:dyDescent="0.3">
      <c r="A7" s="236" t="s">
        <v>296</v>
      </c>
      <c r="B7" s="236"/>
      <c r="C7" s="236"/>
      <c r="D7" s="236"/>
      <c r="E7" s="236"/>
      <c r="G7" s="158"/>
    </row>
    <row r="8" spans="1:7" x14ac:dyDescent="0.3">
      <c r="A8" s="244" t="s">
        <v>291</v>
      </c>
      <c r="B8" s="16"/>
      <c r="C8" s="16"/>
      <c r="D8" s="16"/>
      <c r="E8" s="16"/>
    </row>
    <row r="9" spans="1:7" x14ac:dyDescent="0.3">
      <c r="A9" s="16" t="s">
        <v>292</v>
      </c>
      <c r="B9" s="16"/>
      <c r="C9" s="16"/>
      <c r="D9" s="16"/>
      <c r="E9" s="16"/>
    </row>
    <row r="10" spans="1:7" x14ac:dyDescent="0.3">
      <c r="A10" s="16" t="s">
        <v>293</v>
      </c>
      <c r="B10" s="16"/>
      <c r="C10" s="16"/>
      <c r="D10" s="16"/>
      <c r="E10" s="16"/>
    </row>
    <row r="11" spans="1:7" s="160" customFormat="1" x14ac:dyDescent="0.3">
      <c r="A11" s="203"/>
      <c r="B11" s="204"/>
      <c r="C11" s="204"/>
      <c r="D11" s="204"/>
      <c r="E11" s="204"/>
    </row>
    <row r="12" spans="1:7" s="160" customFormat="1" x14ac:dyDescent="0.3">
      <c r="A12" s="162"/>
      <c r="B12" s="163"/>
      <c r="C12" s="163"/>
      <c r="D12" s="163"/>
      <c r="E12" s="163"/>
    </row>
    <row r="13" spans="1:7" x14ac:dyDescent="0.3">
      <c r="A13" s="329" t="s">
        <v>96</v>
      </c>
      <c r="B13" s="329"/>
      <c r="C13" s="329"/>
      <c r="D13" s="329"/>
      <c r="E13" s="329"/>
    </row>
    <row r="14" spans="1:7" x14ac:dyDescent="0.3">
      <c r="A14" s="235" t="s">
        <v>156</v>
      </c>
      <c r="B14" s="236"/>
      <c r="C14" s="236"/>
      <c r="D14" s="236"/>
      <c r="E14" s="236"/>
    </row>
    <row r="15" spans="1:7" x14ac:dyDescent="0.3">
      <c r="A15" s="235" t="s">
        <v>159</v>
      </c>
      <c r="B15" s="236"/>
      <c r="C15" s="236"/>
      <c r="D15" s="236"/>
      <c r="E15" s="236"/>
    </row>
    <row r="16" spans="1:7" x14ac:dyDescent="0.3">
      <c r="A16" s="236" t="s">
        <v>122</v>
      </c>
      <c r="B16" s="236"/>
      <c r="C16" s="236"/>
      <c r="D16" s="236"/>
      <c r="E16" s="236"/>
    </row>
    <row r="17" spans="1:7" x14ac:dyDescent="0.3">
      <c r="A17" s="159" t="s">
        <v>123</v>
      </c>
      <c r="B17" s="159"/>
      <c r="C17" s="159"/>
      <c r="D17" s="159"/>
      <c r="E17" s="159"/>
    </row>
    <row r="18" spans="1:7" x14ac:dyDescent="0.3">
      <c r="A18" s="161" t="s">
        <v>124</v>
      </c>
      <c r="B18" s="159"/>
      <c r="C18" s="159"/>
      <c r="D18" s="159"/>
      <c r="E18" s="159"/>
    </row>
    <row r="19" spans="1:7" s="157" customFormat="1" x14ac:dyDescent="0.3">
      <c r="A19" s="225" t="s">
        <v>158</v>
      </c>
      <c r="B19" s="225"/>
      <c r="C19" s="225"/>
      <c r="D19" s="225"/>
      <c r="E19" s="225"/>
      <c r="G19" s="158"/>
    </row>
    <row r="20" spans="1:7" s="157" customFormat="1" x14ac:dyDescent="0.3">
      <c r="A20" s="237" t="s">
        <v>175</v>
      </c>
      <c r="B20" s="237"/>
      <c r="C20" s="237"/>
      <c r="D20" s="237"/>
      <c r="E20" s="237"/>
      <c r="G20" s="158"/>
    </row>
    <row r="21" spans="1:7" s="157" customFormat="1" x14ac:dyDescent="0.3">
      <c r="A21" s="237" t="s">
        <v>176</v>
      </c>
      <c r="B21" s="237"/>
      <c r="C21" s="237"/>
      <c r="D21" s="237"/>
      <c r="E21" s="237"/>
      <c r="G21" s="158"/>
    </row>
    <row r="22" spans="1:7" s="157" customFormat="1" x14ac:dyDescent="0.3">
      <c r="A22" s="234" t="s">
        <v>157</v>
      </c>
      <c r="B22" s="234"/>
      <c r="C22" s="234"/>
      <c r="D22" s="234"/>
      <c r="E22" s="234"/>
      <c r="G22" s="158"/>
    </row>
    <row r="23" spans="1:7" s="157" customFormat="1" x14ac:dyDescent="0.3">
      <c r="A23" s="234" t="s">
        <v>177</v>
      </c>
      <c r="B23" s="234"/>
      <c r="C23" s="234"/>
      <c r="D23" s="234"/>
      <c r="E23" s="234"/>
      <c r="G23" s="158"/>
    </row>
    <row r="24" spans="1:7" s="157" customFormat="1" x14ac:dyDescent="0.3">
      <c r="A24" s="234" t="s">
        <v>162</v>
      </c>
      <c r="B24" s="234"/>
      <c r="C24" s="234"/>
      <c r="D24" s="234"/>
      <c r="E24" s="234"/>
    </row>
    <row r="25" spans="1:7" s="157" customFormat="1" x14ac:dyDescent="0.3">
      <c r="A25" s="234" t="s">
        <v>220</v>
      </c>
      <c r="B25" s="234"/>
      <c r="C25" s="234"/>
      <c r="D25" s="234"/>
      <c r="E25" s="234"/>
    </row>
    <row r="26" spans="1:7" s="157" customFormat="1" x14ac:dyDescent="0.3">
      <c r="A26" s="234" t="s">
        <v>178</v>
      </c>
      <c r="B26" s="234"/>
      <c r="C26" s="234"/>
      <c r="D26" s="234"/>
      <c r="E26" s="234"/>
    </row>
    <row r="27" spans="1:7" s="157" customFormat="1" x14ac:dyDescent="0.3">
      <c r="A27" s="238" t="s">
        <v>179</v>
      </c>
      <c r="B27" s="239"/>
      <c r="C27" s="239"/>
      <c r="D27" s="239"/>
      <c r="E27" s="239"/>
    </row>
    <row r="28" spans="1:7" s="157" customFormat="1" x14ac:dyDescent="0.3">
      <c r="A28" s="238" t="s">
        <v>180</v>
      </c>
      <c r="B28" s="239"/>
      <c r="C28" s="239"/>
      <c r="D28" s="239"/>
      <c r="E28" s="239"/>
    </row>
    <row r="29" spans="1:7" s="157" customFormat="1" x14ac:dyDescent="0.3">
      <c r="A29" s="238" t="s">
        <v>181</v>
      </c>
      <c r="B29" s="238"/>
      <c r="C29" s="238"/>
      <c r="D29" s="238"/>
      <c r="E29" s="238"/>
    </row>
    <row r="30" spans="1:7" s="157" customFormat="1" x14ac:dyDescent="0.3">
      <c r="A30" s="234" t="s">
        <v>163</v>
      </c>
      <c r="B30" s="234"/>
      <c r="C30" s="234"/>
      <c r="D30" s="234"/>
      <c r="E30" s="234"/>
    </row>
    <row r="31" spans="1:7" s="157" customFormat="1" x14ac:dyDescent="0.3">
      <c r="A31" s="234" t="s">
        <v>165</v>
      </c>
      <c r="B31" s="234"/>
      <c r="C31" s="234"/>
      <c r="D31" s="234"/>
      <c r="E31" s="234"/>
    </row>
    <row r="32" spans="1:7" s="157" customFormat="1" x14ac:dyDescent="0.3">
      <c r="A32" s="234" t="s">
        <v>182</v>
      </c>
      <c r="B32" s="234"/>
      <c r="C32" s="234"/>
      <c r="D32" s="234"/>
      <c r="E32" s="234"/>
    </row>
    <row r="33" spans="1:5" s="157" customFormat="1" x14ac:dyDescent="0.3">
      <c r="A33" s="234" t="s">
        <v>183</v>
      </c>
      <c r="B33" s="234"/>
      <c r="C33" s="234"/>
      <c r="D33" s="234"/>
      <c r="E33" s="234"/>
    </row>
    <row r="34" spans="1:5" s="157" customFormat="1" x14ac:dyDescent="0.3">
      <c r="A34" s="238" t="s">
        <v>184</v>
      </c>
      <c r="B34" s="239"/>
      <c r="C34" s="239"/>
      <c r="D34" s="239"/>
      <c r="E34" s="239"/>
    </row>
    <row r="35" spans="1:5" ht="15.6" customHeight="1" x14ac:dyDescent="0.3">
      <c r="A35" s="223" t="s">
        <v>230</v>
      </c>
      <c r="B35" s="220"/>
      <c r="C35" s="220"/>
      <c r="D35" s="220"/>
      <c r="E35" s="220"/>
    </row>
    <row r="36" spans="1:5" ht="15.6" customHeight="1" x14ac:dyDescent="0.3">
      <c r="A36" s="223" t="s">
        <v>231</v>
      </c>
      <c r="B36" s="220"/>
      <c r="C36" s="220"/>
      <c r="D36" s="220"/>
      <c r="E36" s="220"/>
    </row>
    <row r="37" spans="1:5" ht="15.6" customHeight="1" x14ac:dyDescent="0.3">
      <c r="A37" s="223" t="s">
        <v>232</v>
      </c>
      <c r="B37" s="220"/>
      <c r="C37" s="220"/>
      <c r="D37" s="220"/>
      <c r="E37" s="220"/>
    </row>
    <row r="38" spans="1:5" ht="15.6" customHeight="1" x14ac:dyDescent="0.3">
      <c r="A38" s="223" t="s">
        <v>233</v>
      </c>
      <c r="B38" s="220"/>
      <c r="C38" s="220"/>
      <c r="D38" s="220"/>
      <c r="E38" s="220"/>
    </row>
    <row r="39" spans="1:5" ht="15.6" customHeight="1" x14ac:dyDescent="0.3">
      <c r="A39" s="224" t="s">
        <v>234</v>
      </c>
      <c r="B39" s="220"/>
      <c r="C39" s="220"/>
      <c r="D39" s="220"/>
      <c r="E39" s="220"/>
    </row>
    <row r="40" spans="1:5" ht="15.6" customHeight="1" x14ac:dyDescent="0.3">
      <c r="A40" s="223" t="s">
        <v>235</v>
      </c>
      <c r="B40" s="220"/>
      <c r="C40" s="220"/>
      <c r="D40" s="220"/>
      <c r="E40" s="220"/>
    </row>
    <row r="41" spans="1:5" ht="15.6" customHeight="1" x14ac:dyDescent="0.3">
      <c r="A41" s="223" t="s">
        <v>236</v>
      </c>
      <c r="B41" s="220"/>
      <c r="C41" s="220"/>
      <c r="D41" s="220"/>
      <c r="E41" s="220"/>
    </row>
    <row r="42" spans="1:5" ht="15.6" customHeight="1" x14ac:dyDescent="0.3">
      <c r="A42" s="223" t="s">
        <v>237</v>
      </c>
      <c r="B42" s="220"/>
      <c r="C42" s="220"/>
      <c r="D42" s="220"/>
      <c r="E42" s="220"/>
    </row>
    <row r="43" spans="1:5" ht="15.6" customHeight="1" x14ac:dyDescent="0.3">
      <c r="A43" s="223" t="s">
        <v>238</v>
      </c>
      <c r="B43" s="220"/>
      <c r="C43" s="220"/>
      <c r="D43" s="220"/>
      <c r="E43" s="220"/>
    </row>
    <row r="44" spans="1:5" ht="15.6" customHeight="1" x14ac:dyDescent="0.3">
      <c r="A44" s="223" t="s">
        <v>239</v>
      </c>
      <c r="B44" s="220"/>
      <c r="C44" s="220"/>
      <c r="D44" s="220"/>
      <c r="E44" s="220"/>
    </row>
    <row r="45" spans="1:5" ht="15.6" customHeight="1" x14ac:dyDescent="0.3">
      <c r="A45" s="224" t="s">
        <v>240</v>
      </c>
      <c r="B45" s="220"/>
      <c r="C45" s="220"/>
      <c r="D45" s="220"/>
      <c r="E45" s="220"/>
    </row>
    <row r="46" spans="1:5" ht="15.6" customHeight="1" x14ac:dyDescent="0.3">
      <c r="A46" s="223" t="s">
        <v>241</v>
      </c>
      <c r="B46" s="220"/>
      <c r="C46" s="220"/>
      <c r="D46" s="220"/>
      <c r="E46" s="220"/>
    </row>
    <row r="47" spans="1:5" ht="15.6" customHeight="1" x14ac:dyDescent="0.3">
      <c r="A47" s="223" t="s">
        <v>242</v>
      </c>
      <c r="B47" s="220"/>
      <c r="C47" s="220"/>
      <c r="D47" s="220"/>
      <c r="E47" s="220"/>
    </row>
    <row r="48" spans="1:5" ht="15.6" customHeight="1" x14ac:dyDescent="0.3">
      <c r="A48" s="223" t="s">
        <v>243</v>
      </c>
      <c r="B48" s="220"/>
      <c r="C48" s="220"/>
      <c r="D48" s="220"/>
      <c r="E48" s="220"/>
    </row>
    <row r="49" spans="1:5" ht="15.6" customHeight="1" x14ac:dyDescent="0.3">
      <c r="A49" s="223" t="s">
        <v>244</v>
      </c>
      <c r="B49" s="220"/>
      <c r="C49" s="220"/>
      <c r="D49" s="220"/>
      <c r="E49" s="220"/>
    </row>
    <row r="50" spans="1:5" ht="15.6" customHeight="1" x14ac:dyDescent="0.3">
      <c r="A50" s="223" t="s">
        <v>245</v>
      </c>
      <c r="B50" s="220"/>
      <c r="C50" s="220"/>
      <c r="D50" s="220"/>
      <c r="E50" s="220"/>
    </row>
    <row r="51" spans="1:5" ht="15.6" customHeight="1" x14ac:dyDescent="0.3">
      <c r="A51" s="223" t="s">
        <v>246</v>
      </c>
      <c r="B51" s="220"/>
      <c r="C51" s="220"/>
      <c r="D51" s="220"/>
      <c r="E51" s="220"/>
    </row>
    <row r="52" spans="1:5" ht="15.6" customHeight="1" x14ac:dyDescent="0.3">
      <c r="A52" s="223" t="s">
        <v>247</v>
      </c>
      <c r="B52" s="220"/>
      <c r="C52" s="220"/>
      <c r="D52" s="220"/>
      <c r="E52" s="220"/>
    </row>
    <row r="53" spans="1:5" ht="15.6" customHeight="1" x14ac:dyDescent="0.3">
      <c r="A53" s="223" t="s">
        <v>248</v>
      </c>
      <c r="B53" s="220"/>
      <c r="C53" s="220"/>
      <c r="D53" s="220"/>
      <c r="E53" s="220"/>
    </row>
    <row r="54" spans="1:5" ht="15.6" customHeight="1" x14ac:dyDescent="0.3">
      <c r="A54" s="223" t="s">
        <v>249</v>
      </c>
      <c r="B54" s="220"/>
      <c r="C54" s="220"/>
      <c r="D54" s="220"/>
      <c r="E54" s="220"/>
    </row>
    <row r="55" spans="1:5" ht="15.6" customHeight="1" x14ac:dyDescent="0.3">
      <c r="A55" s="223" t="s">
        <v>250</v>
      </c>
      <c r="B55" s="220"/>
      <c r="C55" s="220"/>
      <c r="D55" s="220"/>
      <c r="E55" s="220"/>
    </row>
    <row r="56" spans="1:5" ht="15.6" customHeight="1" x14ac:dyDescent="0.3">
      <c r="A56" s="223" t="s">
        <v>251</v>
      </c>
      <c r="B56" s="220"/>
      <c r="C56" s="220"/>
      <c r="D56" s="220"/>
      <c r="E56" s="220"/>
    </row>
    <row r="57" spans="1:5" ht="15.6" customHeight="1" x14ac:dyDescent="0.3">
      <c r="A57" s="223" t="s">
        <v>252</v>
      </c>
      <c r="B57" s="220"/>
      <c r="C57" s="220"/>
      <c r="D57" s="220"/>
      <c r="E57" s="220"/>
    </row>
    <row r="58" spans="1:5" ht="15.6" customHeight="1" x14ac:dyDescent="0.3">
      <c r="A58" s="223" t="s">
        <v>253</v>
      </c>
      <c r="B58" s="220"/>
      <c r="C58" s="220"/>
      <c r="D58" s="220"/>
      <c r="E58" s="220"/>
    </row>
    <row r="59" spans="1:5" ht="15.6" customHeight="1" x14ac:dyDescent="0.3">
      <c r="A59" s="223" t="s">
        <v>254</v>
      </c>
      <c r="B59" s="220"/>
      <c r="C59" s="220"/>
      <c r="D59" s="220"/>
      <c r="E59" s="220"/>
    </row>
    <row r="60" spans="1:5" ht="15.6" customHeight="1" x14ac:dyDescent="0.3">
      <c r="A60" s="223" t="s">
        <v>255</v>
      </c>
      <c r="B60" s="220"/>
      <c r="C60" s="220"/>
      <c r="D60" s="220"/>
      <c r="E60" s="220"/>
    </row>
    <row r="61" spans="1:5" ht="15.6" customHeight="1" x14ac:dyDescent="0.3">
      <c r="A61" s="223" t="s">
        <v>256</v>
      </c>
      <c r="B61" s="220"/>
      <c r="C61" s="220"/>
      <c r="D61" s="220"/>
      <c r="E61" s="220"/>
    </row>
    <row r="62" spans="1:5" ht="15.6" customHeight="1" x14ac:dyDescent="0.3">
      <c r="A62" s="223" t="s">
        <v>257</v>
      </c>
      <c r="B62" s="220"/>
      <c r="C62" s="220"/>
      <c r="D62" s="220"/>
      <c r="E62" s="220"/>
    </row>
    <row r="63" spans="1:5" ht="14.4" customHeight="1" x14ac:dyDescent="0.3">
      <c r="A63" s="225" t="s">
        <v>217</v>
      </c>
      <c r="B63" s="225"/>
      <c r="C63" s="225"/>
      <c r="D63" s="225"/>
      <c r="E63" s="225"/>
    </row>
    <row r="64" spans="1:5" ht="15.6" customHeight="1" x14ac:dyDescent="0.3">
      <c r="A64" s="223" t="s">
        <v>258</v>
      </c>
      <c r="B64" s="220"/>
      <c r="C64" s="220"/>
      <c r="D64" s="220"/>
      <c r="E64" s="220"/>
    </row>
    <row r="65" spans="1:5" ht="15.6" customHeight="1" x14ac:dyDescent="0.3">
      <c r="A65" s="223" t="s">
        <v>259</v>
      </c>
      <c r="B65" s="220"/>
      <c r="C65" s="220"/>
      <c r="D65" s="220"/>
      <c r="E65" s="220"/>
    </row>
    <row r="66" spans="1:5" ht="15.6" customHeight="1" x14ac:dyDescent="0.3">
      <c r="A66" s="223" t="s">
        <v>260</v>
      </c>
      <c r="B66" s="220"/>
      <c r="C66" s="220"/>
      <c r="D66" s="220"/>
      <c r="E66" s="220"/>
    </row>
    <row r="67" spans="1:5" ht="15.6" customHeight="1" x14ac:dyDescent="0.3">
      <c r="A67" s="223" t="s">
        <v>261</v>
      </c>
      <c r="B67" s="220"/>
      <c r="C67" s="220"/>
      <c r="D67" s="220"/>
      <c r="E67" s="220"/>
    </row>
    <row r="68" spans="1:5" ht="15.6" customHeight="1" x14ac:dyDescent="0.3">
      <c r="A68" s="223" t="s">
        <v>262</v>
      </c>
      <c r="B68" s="220"/>
      <c r="C68" s="220"/>
      <c r="D68" s="220"/>
      <c r="E68" s="220"/>
    </row>
    <row r="69" spans="1:5" ht="15.6" customHeight="1" x14ac:dyDescent="0.3">
      <c r="A69" s="223" t="s">
        <v>263</v>
      </c>
      <c r="B69" s="220"/>
      <c r="C69" s="220"/>
      <c r="D69" s="220"/>
      <c r="E69" s="220"/>
    </row>
    <row r="70" spans="1:5" ht="15.6" customHeight="1" x14ac:dyDescent="0.3">
      <c r="A70" s="223" t="s">
        <v>264</v>
      </c>
      <c r="B70" s="220"/>
      <c r="C70" s="220"/>
      <c r="D70" s="220"/>
      <c r="E70" s="220"/>
    </row>
    <row r="71" spans="1:5" ht="15.6" customHeight="1" x14ac:dyDescent="0.3">
      <c r="A71" s="223" t="s">
        <v>265</v>
      </c>
      <c r="B71" s="220"/>
      <c r="C71" s="220"/>
      <c r="D71" s="220"/>
      <c r="E71" s="220"/>
    </row>
    <row r="72" spans="1:5" ht="15.6" customHeight="1" x14ac:dyDescent="0.3">
      <c r="A72" s="223" t="s">
        <v>266</v>
      </c>
      <c r="B72" s="220"/>
      <c r="C72" s="220"/>
      <c r="D72" s="220"/>
      <c r="E72" s="220"/>
    </row>
    <row r="73" spans="1:5" ht="15.6" customHeight="1" x14ac:dyDescent="0.3">
      <c r="A73" s="223" t="s">
        <v>267</v>
      </c>
      <c r="B73" s="220"/>
      <c r="C73" s="220"/>
      <c r="D73" s="220"/>
      <c r="E73" s="220"/>
    </row>
    <row r="74" spans="1:5" ht="15.6" customHeight="1" x14ac:dyDescent="0.3">
      <c r="A74" s="223" t="s">
        <v>268</v>
      </c>
      <c r="B74" s="220"/>
      <c r="C74" s="220"/>
      <c r="D74" s="220"/>
      <c r="E74" s="220"/>
    </row>
    <row r="75" spans="1:5" ht="15.6" customHeight="1" x14ac:dyDescent="0.3">
      <c r="A75" s="223" t="s">
        <v>269</v>
      </c>
      <c r="B75" s="220"/>
      <c r="C75" s="220"/>
      <c r="D75" s="220"/>
      <c r="E75" s="220"/>
    </row>
    <row r="76" spans="1:5" ht="15.6" customHeight="1" x14ac:dyDescent="0.3">
      <c r="A76" s="223" t="s">
        <v>270</v>
      </c>
      <c r="B76" s="220"/>
      <c r="C76" s="220"/>
      <c r="D76" s="220"/>
      <c r="E76" s="220"/>
    </row>
    <row r="77" spans="1:5" ht="15.6" customHeight="1" x14ac:dyDescent="0.3">
      <c r="A77" s="223" t="s">
        <v>282</v>
      </c>
      <c r="B77" s="220"/>
      <c r="C77" s="220"/>
      <c r="D77" s="220"/>
      <c r="E77" s="220"/>
    </row>
    <row r="78" spans="1:5" x14ac:dyDescent="0.3">
      <c r="A78" s="240" t="s">
        <v>271</v>
      </c>
      <c r="B78" s="222"/>
      <c r="C78" s="222"/>
      <c r="D78" s="222"/>
      <c r="E78" s="222"/>
    </row>
    <row r="79" spans="1:5" x14ac:dyDescent="0.3">
      <c r="A79" s="241" t="s">
        <v>218</v>
      </c>
      <c r="B79" s="241"/>
      <c r="C79" s="241"/>
      <c r="D79" s="241"/>
      <c r="E79" s="241"/>
    </row>
  </sheetData>
  <mergeCells count="3">
    <mergeCell ref="A4:E4"/>
    <mergeCell ref="A5:E5"/>
    <mergeCell ref="A13:E13"/>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tabSelected="1" zoomScale="90" zoomScaleNormal="90" workbookViewId="0">
      <selection activeCell="F21" sqref="F21"/>
    </sheetView>
  </sheetViews>
  <sheetFormatPr defaultColWidth="8.88671875" defaultRowHeight="14.4" x14ac:dyDescent="0.3"/>
  <cols>
    <col min="1" max="1" width="8.109375" customWidth="1"/>
    <col min="2" max="2" width="34.5546875" customWidth="1"/>
    <col min="3" max="3" width="9.5546875" customWidth="1"/>
    <col min="4" max="4" width="10.109375" customWidth="1"/>
    <col min="5" max="5" width="10.33203125" customWidth="1"/>
    <col min="6" max="6" width="10.44140625" customWidth="1"/>
    <col min="7" max="7" width="15.6640625" style="84" customWidth="1"/>
    <col min="8" max="8" width="10.6640625" style="84" customWidth="1"/>
    <col min="11" max="11" width="16.33203125" style="84" customWidth="1"/>
    <col min="12" max="12" width="11" style="84" customWidth="1"/>
    <col min="13" max="13" width="10.44140625" bestFit="1" customWidth="1"/>
  </cols>
  <sheetData>
    <row r="2" spans="1:13" ht="21.75" customHeight="1" x14ac:dyDescent="0.3"/>
    <row r="3" spans="1:13" x14ac:dyDescent="0.3">
      <c r="C3" s="17"/>
      <c r="D3" s="17"/>
      <c r="E3" s="17"/>
      <c r="F3" s="17"/>
      <c r="G3" s="93"/>
      <c r="H3" s="93"/>
      <c r="I3" s="17"/>
      <c r="J3" s="17"/>
      <c r="K3" s="22"/>
    </row>
    <row r="4" spans="1:13" ht="18.600000000000001" thickBot="1" x14ac:dyDescent="0.4">
      <c r="B4" s="343" t="s">
        <v>62</v>
      </c>
      <c r="C4" s="343"/>
      <c r="D4" s="16"/>
      <c r="E4" s="16"/>
      <c r="F4" s="16"/>
      <c r="G4" s="22"/>
      <c r="H4" s="22"/>
      <c r="I4" s="16"/>
      <c r="J4" s="16"/>
      <c r="K4" s="22"/>
    </row>
    <row r="5" spans="1:13" ht="31.5" customHeight="1" x14ac:dyDescent="0.3">
      <c r="C5" s="344" t="s">
        <v>60</v>
      </c>
      <c r="D5" s="345"/>
      <c r="E5" s="345"/>
      <c r="F5" s="346"/>
      <c r="G5" s="347" t="s">
        <v>219</v>
      </c>
      <c r="H5" s="349" t="s">
        <v>88</v>
      </c>
      <c r="I5" s="344" t="s">
        <v>61</v>
      </c>
      <c r="J5" s="351"/>
      <c r="K5" s="347" t="s">
        <v>219</v>
      </c>
      <c r="L5" s="349" t="s">
        <v>88</v>
      </c>
      <c r="M5" s="347" t="s">
        <v>147</v>
      </c>
    </row>
    <row r="6" spans="1:13" ht="15.75" customHeight="1" thickBot="1" x14ac:dyDescent="0.35">
      <c r="B6" t="s">
        <v>25</v>
      </c>
      <c r="C6" s="6" t="s">
        <v>21</v>
      </c>
      <c r="D6" s="7" t="s">
        <v>22</v>
      </c>
      <c r="E6" s="7" t="s">
        <v>23</v>
      </c>
      <c r="F6" s="8" t="s">
        <v>24</v>
      </c>
      <c r="G6" s="348"/>
      <c r="H6" s="350"/>
      <c r="I6" s="6" t="s">
        <v>21</v>
      </c>
      <c r="J6" s="65" t="s">
        <v>22</v>
      </c>
      <c r="K6" s="348"/>
      <c r="L6" s="350"/>
      <c r="M6" s="348"/>
    </row>
    <row r="7" spans="1:13" x14ac:dyDescent="0.3">
      <c r="A7" s="72" t="s">
        <v>1</v>
      </c>
      <c r="B7" s="71" t="s">
        <v>0</v>
      </c>
      <c r="C7" s="66"/>
      <c r="D7" s="67"/>
      <c r="E7" s="67"/>
      <c r="F7" s="68"/>
      <c r="G7" s="85"/>
      <c r="H7" s="86"/>
      <c r="I7" s="69"/>
      <c r="J7" s="70"/>
      <c r="K7" s="91"/>
      <c r="L7" s="85"/>
      <c r="M7" s="76"/>
    </row>
    <row r="8" spans="1:13" ht="43.2" x14ac:dyDescent="0.3">
      <c r="A8" s="1" t="s">
        <v>10</v>
      </c>
      <c r="B8" s="3" t="s">
        <v>2</v>
      </c>
      <c r="C8" s="117">
        <f>'Tartu Ülikool'!C6+Praxis!C6+CentAR!C6</f>
        <v>21985.919999999998</v>
      </c>
      <c r="D8" s="118">
        <f>'Tartu Ülikool'!D6+Praxis!D6+CentAR!D6</f>
        <v>40647.350000000006</v>
      </c>
      <c r="E8" s="118">
        <f>'Tartu Ülikool'!E6+Praxis!E6+CentAR!E6</f>
        <v>39927.919999999998</v>
      </c>
      <c r="F8" s="119">
        <f>'Tartu Ülikool'!F6+Praxis!F6+CentAR!F6</f>
        <v>54927.67</v>
      </c>
      <c r="G8" s="87">
        <f>'Tartu Ülikool'!G6+Praxis!G6+CentAR!G6</f>
        <v>168546</v>
      </c>
      <c r="H8" s="88">
        <f>G8-C8-D8-E8-F8</f>
        <v>11057.140000000014</v>
      </c>
      <c r="I8" s="117">
        <f>'Tartu Ülikool'!I6+Praxis!I6+CentAR!I6</f>
        <v>0</v>
      </c>
      <c r="J8" s="118">
        <f>'Tartu Ülikool'!J6+Praxis!J6+CentAR!J6</f>
        <v>0</v>
      </c>
      <c r="K8" s="88">
        <f>'Tartu Ülikool'!K6+Praxis!K6+CentAR!K6</f>
        <v>81509.81</v>
      </c>
      <c r="L8" s="88">
        <f>K8-I8-J8</f>
        <v>81509.81</v>
      </c>
      <c r="M8" s="94">
        <f>G8+K8</f>
        <v>250055.81</v>
      </c>
    </row>
    <row r="9" spans="1:13" ht="43.2" x14ac:dyDescent="0.3">
      <c r="A9" s="2" t="s">
        <v>11</v>
      </c>
      <c r="B9" s="3" t="s">
        <v>44</v>
      </c>
      <c r="C9" s="117">
        <f>'Tartu Ülikool'!C7+Praxis!C7+CentAR!C7</f>
        <v>341.19</v>
      </c>
      <c r="D9" s="118">
        <f>'Tartu Ülikool'!D7+Praxis!D7+CentAR!D7</f>
        <v>7906.3</v>
      </c>
      <c r="E9" s="118">
        <f>'Tartu Ülikool'!E7+Praxis!E7+CentAR!E7</f>
        <v>7907.8599999999988</v>
      </c>
      <c r="F9" s="119">
        <f>'Tartu Ülikool'!F7+Praxis!F7+CentAR!F7</f>
        <v>5760.4</v>
      </c>
      <c r="G9" s="87">
        <f>'Tartu Ülikool'!G7+Praxis!G7+CentAR!G7</f>
        <v>26137.4</v>
      </c>
      <c r="H9" s="88">
        <f>G9-C9-D9-E9-F9</f>
        <v>4221.6500000000051</v>
      </c>
      <c r="I9" s="117">
        <f>'Tartu Ülikool'!I7+Praxis!I7+CentAR!I7</f>
        <v>0</v>
      </c>
      <c r="J9" s="118">
        <f>'Tartu Ülikool'!J7+Praxis!J7+CentAR!J7</f>
        <v>0</v>
      </c>
      <c r="K9" s="88">
        <f>'Tartu Ülikool'!K7+Praxis!K7+CentAR!K7</f>
        <v>8994.7999999999993</v>
      </c>
      <c r="L9" s="88">
        <f>K9-I9-J9</f>
        <v>8994.7999999999993</v>
      </c>
      <c r="M9" s="94">
        <f t="shared" ref="M9:M20" si="0">G9+K9</f>
        <v>35132.199999999997</v>
      </c>
    </row>
    <row r="10" spans="1:13" x14ac:dyDescent="0.3">
      <c r="A10" s="72" t="s">
        <v>3</v>
      </c>
      <c r="B10" s="71" t="s">
        <v>4</v>
      </c>
      <c r="C10" s="102"/>
      <c r="D10" s="103"/>
      <c r="E10" s="103"/>
      <c r="F10" s="115"/>
      <c r="G10" s="87"/>
      <c r="H10" s="88"/>
      <c r="I10" s="73"/>
      <c r="J10" s="74"/>
      <c r="K10" s="88"/>
      <c r="L10" s="87"/>
      <c r="M10" s="74"/>
    </row>
    <row r="11" spans="1:13" ht="28.8" x14ac:dyDescent="0.3">
      <c r="A11" s="2" t="s">
        <v>12</v>
      </c>
      <c r="B11" s="3" t="s">
        <v>5</v>
      </c>
      <c r="C11" s="117">
        <f>'Tartu Ülikool'!C9+Praxis!C9+CentAR!C9</f>
        <v>0</v>
      </c>
      <c r="D11" s="118">
        <f>'Tartu Ülikool'!D9+Praxis!D9+CentAR!D9</f>
        <v>0</v>
      </c>
      <c r="E11" s="118">
        <f>'Tartu Ülikool'!E9+Praxis!E9+CentAR!E9</f>
        <v>0</v>
      </c>
      <c r="F11" s="119">
        <f>'Tartu Ülikool'!F9+Praxis!F9+CentAR!F9</f>
        <v>0</v>
      </c>
      <c r="G11" s="87">
        <f>'Tartu Ülikool'!G9+Praxis!G9+CentAR!G9</f>
        <v>619</v>
      </c>
      <c r="H11" s="88">
        <f>G11-C11-D11-E11-F11</f>
        <v>619</v>
      </c>
      <c r="I11" s="117">
        <f>'Tartu Ülikool'!I9+Praxis!I9+CentAR!I9</f>
        <v>0</v>
      </c>
      <c r="J11" s="118">
        <f>'Tartu Ülikool'!J9+Praxis!J9+CentAR!J9</f>
        <v>0</v>
      </c>
      <c r="K11" s="88">
        <f>'Tartu Ülikool'!K9+Praxis!K9+CentAR!K9</f>
        <v>610</v>
      </c>
      <c r="L11" s="88">
        <f>K11-I11-J11</f>
        <v>610</v>
      </c>
      <c r="M11" s="94">
        <f t="shared" si="0"/>
        <v>1229</v>
      </c>
    </row>
    <row r="12" spans="1:13" x14ac:dyDescent="0.3">
      <c r="A12" s="2" t="s">
        <v>13</v>
      </c>
      <c r="B12" s="3" t="s">
        <v>26</v>
      </c>
      <c r="C12" s="117">
        <f>'Tartu Ülikool'!C10+Praxis!C10+CentAR!C10</f>
        <v>282</v>
      </c>
      <c r="D12" s="118">
        <f>'Tartu Ülikool'!D10+Praxis!D10+CentAR!D10</f>
        <v>907.59</v>
      </c>
      <c r="E12" s="118">
        <f>'Tartu Ülikool'!E10+Praxis!E10+CentAR!E10</f>
        <v>1075.2</v>
      </c>
      <c r="F12" s="119">
        <f>'Tartu Ülikool'!F10+Praxis!F10+CentAR!F10</f>
        <v>319.7</v>
      </c>
      <c r="G12" s="87">
        <f>'Tartu Ülikool'!G10+Praxis!G10+CentAR!G10</f>
        <v>3993</v>
      </c>
      <c r="H12" s="88">
        <f>G12-C12-D12-E12-F12</f>
        <v>1408.5099999999998</v>
      </c>
      <c r="I12" s="117">
        <f>'Tartu Ülikool'!I10+Praxis!I10+CentAR!I10</f>
        <v>0</v>
      </c>
      <c r="J12" s="118">
        <f>'Tartu Ülikool'!J10+Praxis!J10+CentAR!J10</f>
        <v>0</v>
      </c>
      <c r="K12" s="88">
        <f>'Tartu Ülikool'!K10+Praxis!K10+CentAR!K10</f>
        <v>1100</v>
      </c>
      <c r="L12" s="88">
        <f>K12-I12-J12</f>
        <v>1100</v>
      </c>
      <c r="M12" s="94">
        <f t="shared" si="0"/>
        <v>5093</v>
      </c>
    </row>
    <row r="13" spans="1:13" x14ac:dyDescent="0.3">
      <c r="A13" s="2" t="s">
        <v>14</v>
      </c>
      <c r="B13" s="3" t="s">
        <v>6</v>
      </c>
      <c r="C13" s="117">
        <f>'Tartu Ülikool'!C11+Praxis!C11+CentAR!C11</f>
        <v>0</v>
      </c>
      <c r="D13" s="118">
        <f>'Tartu Ülikool'!D11+Praxis!D11+CentAR!D11</f>
        <v>0</v>
      </c>
      <c r="E13" s="118">
        <f>'Tartu Ülikool'!E11+Praxis!E11+CentAR!E11</f>
        <v>0</v>
      </c>
      <c r="F13" s="119">
        <f>'Tartu Ülikool'!F11+Praxis!F11+CentAR!F11</f>
        <v>0</v>
      </c>
      <c r="G13" s="87">
        <f>'Tartu Ülikool'!G11+Praxis!G11+CentAR!G11</f>
        <v>0</v>
      </c>
      <c r="H13" s="88">
        <f>G13-C13-D13-E13-F13</f>
        <v>0</v>
      </c>
      <c r="I13" s="117">
        <f>'Tartu Ülikool'!I11+Praxis!I11+CentAR!I11</f>
        <v>0</v>
      </c>
      <c r="J13" s="118">
        <f>'Tartu Ülikool'!J11+Praxis!J11+CentAR!J11</f>
        <v>0</v>
      </c>
      <c r="K13" s="88">
        <f>'Tartu Ülikool'!K11+Praxis!K11+CentAR!K11</f>
        <v>0</v>
      </c>
      <c r="L13" s="88">
        <f>K13-I13-J13</f>
        <v>0</v>
      </c>
      <c r="M13" s="94">
        <f t="shared" si="0"/>
        <v>0</v>
      </c>
    </row>
    <row r="14" spans="1:13" x14ac:dyDescent="0.3">
      <c r="A14" s="2" t="s">
        <v>15</v>
      </c>
      <c r="B14" s="3" t="s">
        <v>7</v>
      </c>
      <c r="C14" s="117">
        <f>'Tartu Ülikool'!C12+Praxis!C12+CentAR!C12</f>
        <v>0</v>
      </c>
      <c r="D14" s="118">
        <f>'Tartu Ülikool'!D12+Praxis!D12+CentAR!D12</f>
        <v>0</v>
      </c>
      <c r="E14" s="118">
        <f>'Tartu Ülikool'!E12+Praxis!E12+CentAR!E12</f>
        <v>696</v>
      </c>
      <c r="F14" s="119">
        <f>'Tartu Ülikool'!F12+Praxis!F12+CentAR!F12</f>
        <v>696</v>
      </c>
      <c r="G14" s="87">
        <f>'Tartu Ülikool'!G12+Praxis!G12+CentAR!G12</f>
        <v>4553</v>
      </c>
      <c r="H14" s="88">
        <f>G14-C14-D14-E14-F14</f>
        <v>3161</v>
      </c>
      <c r="I14" s="117">
        <f>'Tartu Ülikool'!I12+Praxis!I12+CentAR!I12</f>
        <v>0</v>
      </c>
      <c r="J14" s="118">
        <f>'Tartu Ülikool'!J12+Praxis!J12+CentAR!J12</f>
        <v>0</v>
      </c>
      <c r="K14" s="88">
        <f>'Tartu Ülikool'!K12+Praxis!K12+CentAR!K12</f>
        <v>0</v>
      </c>
      <c r="L14" s="88">
        <f>K14-I14-J14</f>
        <v>0</v>
      </c>
      <c r="M14" s="94">
        <f t="shared" si="0"/>
        <v>4553</v>
      </c>
    </row>
    <row r="15" spans="1:13" x14ac:dyDescent="0.3">
      <c r="A15" s="2" t="s">
        <v>16</v>
      </c>
      <c r="B15" s="3" t="s">
        <v>4</v>
      </c>
      <c r="C15" s="117">
        <f>'Tartu Ülikool'!C13+Praxis!C13+CentAR!C13</f>
        <v>0</v>
      </c>
      <c r="D15" s="118">
        <f>'Tartu Ülikool'!D13+Praxis!D13+CentAR!D13</f>
        <v>0</v>
      </c>
      <c r="E15" s="118">
        <f>'Tartu Ülikool'!E13+Praxis!E13+CentAR!E13</f>
        <v>1250.83</v>
      </c>
      <c r="F15" s="119">
        <f>'Tartu Ülikool'!F13+Praxis!F13+CentAR!F13</f>
        <v>0</v>
      </c>
      <c r="G15" s="87">
        <f>'Tartu Ülikool'!G13+Praxis!G13+CentAR!G13</f>
        <v>7500</v>
      </c>
      <c r="H15" s="88">
        <f>G15-C15-D15-E15-F15</f>
        <v>6249.17</v>
      </c>
      <c r="I15" s="117">
        <f>'Tartu Ülikool'!I13+Praxis!I13+CentAR!I13</f>
        <v>0</v>
      </c>
      <c r="J15" s="118">
        <f>'Tartu Ülikool'!J13+Praxis!J13+CentAR!J13</f>
        <v>0</v>
      </c>
      <c r="K15" s="88">
        <f>'Tartu Ülikool'!K13+Praxis!K13+CentAR!K13</f>
        <v>28250</v>
      </c>
      <c r="L15" s="88">
        <f>K15-I15-J15</f>
        <v>28250</v>
      </c>
      <c r="M15" s="94">
        <f t="shared" si="0"/>
        <v>35750</v>
      </c>
    </row>
    <row r="16" spans="1:13" x14ac:dyDescent="0.3">
      <c r="A16" s="72" t="s">
        <v>8</v>
      </c>
      <c r="B16" s="75" t="s">
        <v>9</v>
      </c>
      <c r="C16" s="102"/>
      <c r="D16" s="103"/>
      <c r="E16" s="103"/>
      <c r="F16" s="115"/>
      <c r="G16" s="87"/>
      <c r="H16" s="88"/>
      <c r="I16" s="73"/>
      <c r="J16" s="74"/>
      <c r="K16" s="88"/>
      <c r="L16" s="87"/>
      <c r="M16" s="74"/>
    </row>
    <row r="17" spans="1:13" s="10" customFormat="1" x14ac:dyDescent="0.3">
      <c r="A17" s="9" t="s">
        <v>42</v>
      </c>
      <c r="B17" s="11" t="s">
        <v>41</v>
      </c>
      <c r="C17" s="100">
        <f>'Tartu Ülikool'!C15+Praxis!C15+CentAR!C15</f>
        <v>3349.0664999999999</v>
      </c>
      <c r="D17" s="101">
        <f>'Tartu Ülikool'!D15+Praxis!D15+CentAR!D15</f>
        <v>7283.0475000000006</v>
      </c>
      <c r="E17" s="101">
        <f>'Tartu Ülikool'!E15+Praxis!E15+CentAR!E15</f>
        <v>7175.3669999999993</v>
      </c>
      <c r="F17" s="114">
        <f>'Tartu Ülikool'!F15+Praxis!F15+CentAR!F15</f>
        <v>9103.2104999999992</v>
      </c>
      <c r="G17" s="87">
        <f>'Tartu Ülikool'!G15+Praxis!G15+CentAR!G15</f>
        <v>29202.510000000002</v>
      </c>
      <c r="H17" s="88">
        <f>G17-C17-D17-E17-F17</f>
        <v>2291.818500000003</v>
      </c>
      <c r="I17" s="100">
        <f>'Tartu Ülikool'!I15+Praxis!I15+CentAR!I15</f>
        <v>0</v>
      </c>
      <c r="J17" s="101">
        <f>'Tartu Ülikool'!J15+Praxis!J15+CentAR!J15</f>
        <v>0</v>
      </c>
      <c r="K17" s="88">
        <f>'Tartu Ülikool'!K15+Praxis!K15+CentAR!K15</f>
        <v>13575.69</v>
      </c>
      <c r="L17" s="88">
        <f>K17-I17-J17</f>
        <v>13575.69</v>
      </c>
      <c r="M17" s="94">
        <f t="shared" si="0"/>
        <v>42778.200000000004</v>
      </c>
    </row>
    <row r="18" spans="1:13" s="10" customFormat="1" x14ac:dyDescent="0.3">
      <c r="A18" s="9"/>
      <c r="B18" s="12" t="s">
        <v>45</v>
      </c>
      <c r="C18" s="100">
        <f>'Tartu Ülikool'!C16+Praxis!C16+CentAR!C16</f>
        <v>25958.176500000001</v>
      </c>
      <c r="D18" s="101">
        <f>'Tartu Ülikool'!D16+Praxis!D16+CentAR!D16</f>
        <v>56744.287500000006</v>
      </c>
      <c r="E18" s="101">
        <f>'Tartu Ülikool'!E16+Praxis!E16+CentAR!E16</f>
        <v>58033.176999999996</v>
      </c>
      <c r="F18" s="114">
        <f>'Tartu Ülikool'!F16+Praxis!F16+CentAR!F16</f>
        <v>70806.980500000005</v>
      </c>
      <c r="G18" s="87"/>
      <c r="H18" s="88"/>
      <c r="I18" s="100">
        <f>'Tartu Ülikool'!I16+Praxis!I16+CentAR!I16</f>
        <v>0</v>
      </c>
      <c r="J18" s="101">
        <f>'Tartu Ülikool'!J16+Praxis!J16+CentAR!J16</f>
        <v>0</v>
      </c>
      <c r="K18" s="88"/>
      <c r="L18" s="89"/>
      <c r="M18" s="94">
        <f t="shared" si="0"/>
        <v>0</v>
      </c>
    </row>
    <row r="19" spans="1:13" x14ac:dyDescent="0.3">
      <c r="A19" s="72" t="s">
        <v>17</v>
      </c>
      <c r="B19" s="75" t="s">
        <v>18</v>
      </c>
      <c r="C19" s="120">
        <f>'Tartu Ülikool'!C17+Praxis!C17+CentAR!C17</f>
        <v>5191.6353000000008</v>
      </c>
      <c r="D19" s="121">
        <f>'Tartu Ülikool'!D17+Praxis!D17+CentAR!D17</f>
        <v>11348.857500000002</v>
      </c>
      <c r="E19" s="121">
        <f>'Tartu Ülikool'!E17+Praxis!E17+CentAR!E17</f>
        <v>11606.637999999999</v>
      </c>
      <c r="F19" s="122">
        <f>'Tartu Ülikool'!F17+Praxis!F17+CentAR!F17</f>
        <v>14161.396100000002</v>
      </c>
      <c r="G19" s="87">
        <f>'Tartu Ülikool'!G17+Praxis!G17+CentAR!G17</f>
        <v>48110.18</v>
      </c>
      <c r="H19" s="88">
        <f>G19-C19-D19-E19-F19</f>
        <v>5801.6530999999959</v>
      </c>
      <c r="I19" s="120">
        <f>'Tartu Ülikool'!I17+Praxis!I17+CentAR!I17</f>
        <v>0</v>
      </c>
      <c r="J19" s="121">
        <f>'Tartu Ülikool'!J17+Praxis!J17+CentAR!J17</f>
        <v>0</v>
      </c>
      <c r="K19" s="88">
        <f>'Tartu Ülikool'!K17+Praxis!K17+CentAR!K17</f>
        <v>26808.07</v>
      </c>
      <c r="L19" s="88">
        <f>K19-I19-J19</f>
        <v>26808.07</v>
      </c>
      <c r="M19" s="94">
        <f t="shared" si="0"/>
        <v>74918.25</v>
      </c>
    </row>
    <row r="20" spans="1:13" ht="15" thickBot="1" x14ac:dyDescent="0.35">
      <c r="A20" s="72" t="s">
        <v>19</v>
      </c>
      <c r="B20" s="75" t="s">
        <v>20</v>
      </c>
      <c r="C20" s="229">
        <f>'Tartu Ülikool'!C18+Praxis!C18+CentAR!C18</f>
        <v>31149.811800000003</v>
      </c>
      <c r="D20" s="230">
        <f>'Tartu Ülikool'!D18+Praxis!D18+CentAR!D18</f>
        <v>68093.145000000004</v>
      </c>
      <c r="E20" s="230">
        <f>'Tartu Ülikool'!E18+Praxis!E18+CentAR!E18</f>
        <v>69639.815000000002</v>
      </c>
      <c r="F20" s="231">
        <f>'Tartu Ülikool'!F18+Praxis!F18+CentAR!F18</f>
        <v>84968.382000000012</v>
      </c>
      <c r="G20" s="164">
        <f>'Tartu Ülikool'!G18+Praxis!G18+CentAR!G18</f>
        <v>288661.08999999997</v>
      </c>
      <c r="H20" s="164">
        <f>G20-C20-D20-E20-F20</f>
        <v>34809.936199999967</v>
      </c>
      <c r="I20" s="123">
        <f>'Tartu Ülikool'!I18+Praxis!I18+CentAR!I18</f>
        <v>0</v>
      </c>
      <c r="J20" s="124">
        <f>'Tartu Ülikool'!J18+Praxis!J18+CentAR!J18</f>
        <v>0</v>
      </c>
      <c r="K20" s="164">
        <f>'Tartu Ülikool'!K18+Praxis!K18+CentAR!K18</f>
        <v>160848.37</v>
      </c>
      <c r="L20" s="164">
        <f>K20-I20-J20</f>
        <v>160848.37</v>
      </c>
      <c r="M20" s="95">
        <f t="shared" si="0"/>
        <v>449509.45999999996</v>
      </c>
    </row>
  </sheetData>
  <mergeCells count="8">
    <mergeCell ref="B4:C4"/>
    <mergeCell ref="C5:F5"/>
    <mergeCell ref="G5:G6"/>
    <mergeCell ref="M5:M6"/>
    <mergeCell ref="H5:H6"/>
    <mergeCell ref="K5:K6"/>
    <mergeCell ref="L5:L6"/>
    <mergeCell ref="I5:J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zoomScale="90" zoomScaleNormal="90" workbookViewId="0">
      <selection activeCell="F17" sqref="F17"/>
    </sheetView>
  </sheetViews>
  <sheetFormatPr defaultColWidth="53.44140625" defaultRowHeight="14.4" x14ac:dyDescent="0.3"/>
  <cols>
    <col min="1" max="1" width="4.88671875" bestFit="1" customWidth="1"/>
    <col min="2" max="2" width="36.33203125" customWidth="1"/>
    <col min="3" max="6" width="9.44140625" bestFit="1" customWidth="1"/>
    <col min="7" max="7" width="16.6640625" style="84" customWidth="1"/>
    <col min="8" max="8" width="10.33203125" style="84" bestFit="1" customWidth="1"/>
    <col min="9" max="10" width="9.44140625" bestFit="1" customWidth="1"/>
    <col min="11" max="11" width="16.33203125" style="84" customWidth="1"/>
    <col min="12" max="12" width="11.6640625" style="84" customWidth="1"/>
    <col min="13" max="13" width="11.44140625" customWidth="1"/>
  </cols>
  <sheetData>
    <row r="2" spans="1:14" ht="21.75" customHeight="1" thickBot="1" x14ac:dyDescent="0.45">
      <c r="B2" s="352" t="s">
        <v>63</v>
      </c>
      <c r="C2" s="352"/>
    </row>
    <row r="3" spans="1:14" ht="23.4" customHeight="1" x14ac:dyDescent="0.3">
      <c r="C3" s="344" t="s">
        <v>60</v>
      </c>
      <c r="D3" s="345"/>
      <c r="E3" s="345"/>
      <c r="F3" s="346"/>
      <c r="G3" s="347" t="s">
        <v>219</v>
      </c>
      <c r="H3" s="349" t="s">
        <v>88</v>
      </c>
      <c r="I3" s="344" t="s">
        <v>61</v>
      </c>
      <c r="J3" s="351"/>
      <c r="K3" s="347" t="s">
        <v>219</v>
      </c>
      <c r="L3" s="349" t="s">
        <v>88</v>
      </c>
      <c r="M3" s="347" t="s">
        <v>147</v>
      </c>
    </row>
    <row r="4" spans="1:14" ht="15" thickBot="1" x14ac:dyDescent="0.35">
      <c r="B4" t="s">
        <v>25</v>
      </c>
      <c r="C4" s="106" t="s">
        <v>21</v>
      </c>
      <c r="D4" s="107" t="s">
        <v>22</v>
      </c>
      <c r="E4" s="107" t="s">
        <v>23</v>
      </c>
      <c r="F4" s="108" t="s">
        <v>24</v>
      </c>
      <c r="G4" s="348"/>
      <c r="H4" s="350"/>
      <c r="I4" s="6" t="s">
        <v>21</v>
      </c>
      <c r="J4" s="65" t="s">
        <v>22</v>
      </c>
      <c r="K4" s="348"/>
      <c r="L4" s="350"/>
      <c r="M4" s="348"/>
    </row>
    <row r="5" spans="1:14" x14ac:dyDescent="0.3">
      <c r="A5" s="72" t="s">
        <v>1</v>
      </c>
      <c r="B5" s="71" t="s">
        <v>0</v>
      </c>
      <c r="C5" s="109"/>
      <c r="D5" s="110"/>
      <c r="E5" s="110"/>
      <c r="F5" s="111"/>
      <c r="G5" s="85"/>
      <c r="H5" s="86"/>
      <c r="I5" s="69"/>
      <c r="J5" s="70"/>
      <c r="K5" s="91"/>
      <c r="L5" s="85"/>
      <c r="M5" s="76"/>
    </row>
    <row r="6" spans="1:14" ht="43.2" x14ac:dyDescent="0.3">
      <c r="A6" s="1" t="s">
        <v>10</v>
      </c>
      <c r="B6" s="3" t="s">
        <v>2</v>
      </c>
      <c r="C6" s="188">
        <v>6188.2500000000009</v>
      </c>
      <c r="D6" s="197">
        <v>13046.000000000002</v>
      </c>
      <c r="E6" s="197">
        <v>13745.150000000001</v>
      </c>
      <c r="F6" s="198">
        <v>12472.63</v>
      </c>
      <c r="G6" s="210">
        <f>56196-7000</f>
        <v>49196</v>
      </c>
      <c r="H6" s="211">
        <f>G6-C6-D6-E6-F6</f>
        <v>3743.9699999999993</v>
      </c>
      <c r="I6" s="96"/>
      <c r="J6" s="97"/>
      <c r="K6" s="211">
        <f>28098-3750</f>
        <v>24348</v>
      </c>
      <c r="L6" s="211">
        <f>K6-I6-J6</f>
        <v>24348</v>
      </c>
      <c r="M6" s="217">
        <f>G6+K6</f>
        <v>73544</v>
      </c>
    </row>
    <row r="7" spans="1:14" ht="43.2" x14ac:dyDescent="0.3">
      <c r="A7" s="2" t="s">
        <v>11</v>
      </c>
      <c r="B7" s="3" t="s">
        <v>44</v>
      </c>
      <c r="C7" s="188">
        <v>0</v>
      </c>
      <c r="D7" s="197">
        <v>3144.3</v>
      </c>
      <c r="E7" s="197">
        <v>5630.23</v>
      </c>
      <c r="F7" s="198">
        <v>702.45</v>
      </c>
      <c r="G7" s="210">
        <f>12042+3300</f>
        <v>15342</v>
      </c>
      <c r="H7" s="211">
        <f>G7-C7-D7-E7-F7</f>
        <v>5865.0200000000013</v>
      </c>
      <c r="I7" s="96"/>
      <c r="J7" s="97"/>
      <c r="K7" s="211">
        <f>3211.2-850</f>
        <v>2361.1999999999998</v>
      </c>
      <c r="L7" s="211">
        <f>K7-I7-J7</f>
        <v>2361.1999999999998</v>
      </c>
      <c r="M7" s="217">
        <f>G7+K7</f>
        <v>17703.2</v>
      </c>
    </row>
    <row r="8" spans="1:14" x14ac:dyDescent="0.3">
      <c r="A8" s="72" t="s">
        <v>3</v>
      </c>
      <c r="B8" s="71" t="s">
        <v>4</v>
      </c>
      <c r="C8" s="102"/>
      <c r="D8" s="195"/>
      <c r="E8" s="113"/>
      <c r="F8" s="99"/>
      <c r="G8" s="210"/>
      <c r="H8" s="211"/>
      <c r="I8" s="98"/>
      <c r="J8" s="99"/>
      <c r="K8" s="211"/>
      <c r="L8" s="210"/>
      <c r="M8" s="218"/>
    </row>
    <row r="9" spans="1:14" ht="28.8" x14ac:dyDescent="0.3">
      <c r="A9" s="2" t="s">
        <v>12</v>
      </c>
      <c r="B9" s="3" t="s">
        <v>5</v>
      </c>
      <c r="C9" s="188">
        <v>0</v>
      </c>
      <c r="D9" s="197">
        <v>0</v>
      </c>
      <c r="E9" s="232">
        <v>0</v>
      </c>
      <c r="F9" s="198">
        <v>0</v>
      </c>
      <c r="G9" s="210">
        <f>900-851</f>
        <v>49</v>
      </c>
      <c r="H9" s="211">
        <f>G9-C9-D9-E9-F9</f>
        <v>49</v>
      </c>
      <c r="I9" s="96"/>
      <c r="J9" s="97"/>
      <c r="K9" s="211">
        <v>420</v>
      </c>
      <c r="L9" s="211">
        <f>K9-I9-J9</f>
        <v>420</v>
      </c>
      <c r="M9" s="217">
        <f t="shared" ref="M9:M18" si="0">G9+K9</f>
        <v>469</v>
      </c>
    </row>
    <row r="10" spans="1:14" x14ac:dyDescent="0.3">
      <c r="A10" s="2" t="s">
        <v>13</v>
      </c>
      <c r="B10" s="3" t="s">
        <v>26</v>
      </c>
      <c r="C10" s="188">
        <v>0</v>
      </c>
      <c r="D10" s="197">
        <v>0</v>
      </c>
      <c r="E10" s="112">
        <v>0</v>
      </c>
      <c r="F10" s="97">
        <v>0</v>
      </c>
      <c r="G10" s="210">
        <f>1500-905</f>
        <v>595</v>
      </c>
      <c r="H10" s="211">
        <f>G10-C10-D10-E10-F10</f>
        <v>595</v>
      </c>
      <c r="I10" s="96"/>
      <c r="J10" s="97"/>
      <c r="K10" s="211">
        <f>1300-800</f>
        <v>500</v>
      </c>
      <c r="L10" s="211">
        <f>K10-I10-J10</f>
        <v>500</v>
      </c>
      <c r="M10" s="217">
        <f t="shared" si="0"/>
        <v>1095</v>
      </c>
    </row>
    <row r="11" spans="1:14" x14ac:dyDescent="0.3">
      <c r="A11" s="2" t="s">
        <v>14</v>
      </c>
      <c r="B11" s="3" t="s">
        <v>6</v>
      </c>
      <c r="C11" s="188">
        <v>0</v>
      </c>
      <c r="D11" s="197">
        <v>0</v>
      </c>
      <c r="E11" s="112">
        <v>0</v>
      </c>
      <c r="F11" s="97">
        <v>0</v>
      </c>
      <c r="G11" s="210">
        <v>0</v>
      </c>
      <c r="H11" s="211">
        <f>G11-C11-D11-E11-F11</f>
        <v>0</v>
      </c>
      <c r="I11" s="96"/>
      <c r="J11" s="97"/>
      <c r="K11" s="211">
        <v>0</v>
      </c>
      <c r="L11" s="211">
        <f>K11-I11-J11</f>
        <v>0</v>
      </c>
      <c r="M11" s="217">
        <f t="shared" si="0"/>
        <v>0</v>
      </c>
    </row>
    <row r="12" spans="1:14" x14ac:dyDescent="0.3">
      <c r="A12" s="2" t="s">
        <v>15</v>
      </c>
      <c r="B12" s="3" t="s">
        <v>7</v>
      </c>
      <c r="C12" s="188">
        <v>0</v>
      </c>
      <c r="D12" s="197">
        <v>0</v>
      </c>
      <c r="E12" s="232">
        <v>696</v>
      </c>
      <c r="F12" s="97">
        <v>696</v>
      </c>
      <c r="G12" s="210">
        <f>0+2553</f>
        <v>2553</v>
      </c>
      <c r="H12" s="211">
        <f>G12-C12-D12-E12-F12</f>
        <v>1161</v>
      </c>
      <c r="I12" s="96"/>
      <c r="J12" s="97"/>
      <c r="K12" s="211">
        <v>0</v>
      </c>
      <c r="L12" s="211">
        <f>K12-I12-J12</f>
        <v>0</v>
      </c>
      <c r="M12" s="217">
        <f t="shared" si="0"/>
        <v>2553</v>
      </c>
    </row>
    <row r="13" spans="1:14" s="10" customFormat="1" x14ac:dyDescent="0.3">
      <c r="A13" s="2" t="s">
        <v>16</v>
      </c>
      <c r="B13" s="3" t="s">
        <v>4</v>
      </c>
      <c r="C13" s="188">
        <v>0</v>
      </c>
      <c r="D13" s="197">
        <v>0</v>
      </c>
      <c r="E13" s="112">
        <v>0</v>
      </c>
      <c r="F13" s="97">
        <v>0</v>
      </c>
      <c r="G13" s="210">
        <f>4000-4000</f>
        <v>0</v>
      </c>
      <c r="H13" s="211">
        <f>G13-C13-D13-E13-F13</f>
        <v>0</v>
      </c>
      <c r="I13" s="96"/>
      <c r="J13" s="97"/>
      <c r="K13" s="211">
        <f>10000-1750</f>
        <v>8250</v>
      </c>
      <c r="L13" s="211">
        <f>K13-I13-J13</f>
        <v>8250</v>
      </c>
      <c r="M13" s="217">
        <f t="shared" si="0"/>
        <v>8250</v>
      </c>
      <c r="N13"/>
    </row>
    <row r="14" spans="1:14" s="10" customFormat="1" x14ac:dyDescent="0.3">
      <c r="A14" s="72" t="s">
        <v>8</v>
      </c>
      <c r="B14" s="75" t="s">
        <v>9</v>
      </c>
      <c r="C14" s="98"/>
      <c r="D14" s="113"/>
      <c r="E14" s="113"/>
      <c r="F14" s="99"/>
      <c r="G14" s="210"/>
      <c r="H14" s="211"/>
      <c r="I14" s="98"/>
      <c r="J14" s="99"/>
      <c r="K14" s="211"/>
      <c r="L14" s="210"/>
      <c r="M14" s="218"/>
      <c r="N14"/>
    </row>
    <row r="15" spans="1:14" x14ac:dyDescent="0.3">
      <c r="A15" s="9" t="s">
        <v>42</v>
      </c>
      <c r="B15" s="11" t="s">
        <v>41</v>
      </c>
      <c r="C15" s="100">
        <f>(C6+C7)*0.15</f>
        <v>928.23750000000007</v>
      </c>
      <c r="D15" s="101">
        <f t="shared" ref="D15:F15" si="1">(D6+D7)*0.15</f>
        <v>2428.5450000000005</v>
      </c>
      <c r="E15" s="101">
        <f t="shared" si="1"/>
        <v>2906.3070000000002</v>
      </c>
      <c r="F15" s="114">
        <f t="shared" si="1"/>
        <v>1976.2619999999999</v>
      </c>
      <c r="G15" s="212">
        <f>10235.7-555</f>
        <v>9680.7000000000007</v>
      </c>
      <c r="H15" s="211">
        <f>G15-C15-D15-E15-F15</f>
        <v>1441.3485000000012</v>
      </c>
      <c r="I15" s="100">
        <f>(I6+I7)*0.15</f>
        <v>0</v>
      </c>
      <c r="J15" s="101">
        <f t="shared" ref="J15" si="2">(J6+J7)*0.15</f>
        <v>0</v>
      </c>
      <c r="K15" s="215">
        <f>4696.38-690</f>
        <v>4006.38</v>
      </c>
      <c r="L15" s="211">
        <f>K15-I15-J15</f>
        <v>4006.38</v>
      </c>
      <c r="M15" s="217">
        <f t="shared" si="0"/>
        <v>13687.080000000002</v>
      </c>
      <c r="N15" s="10"/>
    </row>
    <row r="16" spans="1:14" x14ac:dyDescent="0.3">
      <c r="A16" s="9"/>
      <c r="B16" s="12" t="s">
        <v>45</v>
      </c>
      <c r="C16" s="100">
        <f>C6+C7+C9+C10+C11+C12+C13+C15</f>
        <v>7116.4875000000011</v>
      </c>
      <c r="D16" s="101">
        <f>D6+D7+D9+D10+D11+D12+D13+D15</f>
        <v>18618.845000000005</v>
      </c>
      <c r="E16" s="101">
        <f>E6+E7+E9+E10+E11+E12+E13+E15</f>
        <v>22977.687000000002</v>
      </c>
      <c r="F16" s="114">
        <f>F6+F7+F9+F10+F11+F12+F13+F15</f>
        <v>15847.342000000001</v>
      </c>
      <c r="G16" s="212"/>
      <c r="H16" s="211"/>
      <c r="I16" s="100">
        <f>I6+I7+I9+I10+I11+I12+I13+I15</f>
        <v>0</v>
      </c>
      <c r="J16" s="101">
        <f>J6+J7+J9+J10+J11+J12+J13+J15</f>
        <v>0</v>
      </c>
      <c r="K16" s="215"/>
      <c r="L16" s="212"/>
      <c r="M16" s="217">
        <f t="shared" si="0"/>
        <v>0</v>
      </c>
      <c r="N16" s="10"/>
    </row>
    <row r="17" spans="1:13" x14ac:dyDescent="0.3">
      <c r="A17" s="72" t="s">
        <v>17</v>
      </c>
      <c r="B17" s="75" t="s">
        <v>18</v>
      </c>
      <c r="C17" s="102">
        <f>C16*0.2</f>
        <v>1423.2975000000004</v>
      </c>
      <c r="D17" s="103">
        <f t="shared" ref="D17:F17" si="3">D16*0.2</f>
        <v>3723.7690000000011</v>
      </c>
      <c r="E17" s="103">
        <f>ROUNDUP(E16*0.2,2)</f>
        <v>4595.54</v>
      </c>
      <c r="F17" s="115">
        <f t="shared" si="3"/>
        <v>3169.4684000000002</v>
      </c>
      <c r="G17" s="210">
        <f>16974.74-1491.6</f>
        <v>15483.140000000001</v>
      </c>
      <c r="H17" s="211">
        <f>G17-C17-D17-E17-F17</f>
        <v>2571.0650999999984</v>
      </c>
      <c r="I17" s="102">
        <f>I16*0.2</f>
        <v>0</v>
      </c>
      <c r="J17" s="103">
        <f t="shared" ref="J17" si="4">J16*0.2</f>
        <v>0</v>
      </c>
      <c r="K17" s="211">
        <f>9545.12-1568</f>
        <v>7977.1200000000008</v>
      </c>
      <c r="L17" s="211">
        <f>K17-I17-J17</f>
        <v>7977.1200000000008</v>
      </c>
      <c r="M17" s="217">
        <f t="shared" si="0"/>
        <v>23460.260000000002</v>
      </c>
    </row>
    <row r="18" spans="1:13" ht="15" thickBot="1" x14ac:dyDescent="0.35">
      <c r="A18" s="72" t="s">
        <v>19</v>
      </c>
      <c r="B18" s="75" t="s">
        <v>20</v>
      </c>
      <c r="C18" s="104">
        <f>C16+C17</f>
        <v>8539.7850000000017</v>
      </c>
      <c r="D18" s="105">
        <f t="shared" ref="D18:F18" si="5">D16+D17</f>
        <v>22342.614000000005</v>
      </c>
      <c r="E18" s="105">
        <f t="shared" si="5"/>
        <v>27573.227000000003</v>
      </c>
      <c r="F18" s="116">
        <f t="shared" si="5"/>
        <v>19016.810400000002</v>
      </c>
      <c r="G18" s="213">
        <f>SUM(G6:G17)</f>
        <v>92898.84</v>
      </c>
      <c r="H18" s="214">
        <f>G18-C18-D18-E18-F18</f>
        <v>15426.403599999991</v>
      </c>
      <c r="I18" s="104">
        <f>I16+I17</f>
        <v>0</v>
      </c>
      <c r="J18" s="116">
        <f t="shared" ref="J18" si="6">J16+J17</f>
        <v>0</v>
      </c>
      <c r="K18" s="213">
        <f>SUM(K6:K17)</f>
        <v>47862.7</v>
      </c>
      <c r="L18" s="214">
        <f>K18-I18-J18</f>
        <v>47862.7</v>
      </c>
      <c r="M18" s="219">
        <f t="shared" si="0"/>
        <v>140761.53999999998</v>
      </c>
    </row>
    <row r="19" spans="1:13" x14ac:dyDescent="0.3">
      <c r="K19" s="216"/>
      <c r="L19" s="216"/>
    </row>
  </sheetData>
  <mergeCells count="8">
    <mergeCell ref="K3:K4"/>
    <mergeCell ref="L3:L4"/>
    <mergeCell ref="M3:M4"/>
    <mergeCell ref="I3:J3"/>
    <mergeCell ref="B2:C2"/>
    <mergeCell ref="C3:F3"/>
    <mergeCell ref="G3:G4"/>
    <mergeCell ref="H3:H4"/>
  </mergeCells>
  <pageMargins left="0.7" right="0.7" top="0.75" bottom="0.75" header="0.3" footer="0.3"/>
  <pageSetup paperSize="9" orientation="portrait" r:id="rId1"/>
  <ignoredErrors>
    <ignoredError sqref="E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F19" sqref="F19"/>
    </sheetView>
  </sheetViews>
  <sheetFormatPr defaultColWidth="53.44140625" defaultRowHeight="14.4" x14ac:dyDescent="0.3"/>
  <cols>
    <col min="1" max="1" width="4.88671875" bestFit="1" customWidth="1"/>
    <col min="2" max="2" width="36.33203125" customWidth="1"/>
    <col min="3" max="6" width="9.44140625" bestFit="1" customWidth="1"/>
    <col min="7" max="7" width="16.6640625" style="84" customWidth="1"/>
    <col min="8" max="8" width="10.33203125" style="84" bestFit="1" customWidth="1"/>
    <col min="9" max="10" width="9.44140625" bestFit="1" customWidth="1"/>
    <col min="11" max="11" width="16.109375" style="84" customWidth="1"/>
    <col min="12" max="12" width="11.6640625" style="84" customWidth="1"/>
    <col min="13" max="13" width="10.33203125" bestFit="1" customWidth="1"/>
  </cols>
  <sheetData>
    <row r="2" spans="1:14" ht="21.75" customHeight="1" thickBot="1" x14ac:dyDescent="0.45">
      <c r="B2" s="352" t="s">
        <v>94</v>
      </c>
      <c r="C2" s="352"/>
    </row>
    <row r="3" spans="1:14" ht="23.4" customHeight="1" x14ac:dyDescent="0.45">
      <c r="C3" s="353" t="s">
        <v>60</v>
      </c>
      <c r="D3" s="354"/>
      <c r="E3" s="354"/>
      <c r="F3" s="355"/>
      <c r="G3" s="347" t="s">
        <v>219</v>
      </c>
      <c r="H3" s="349" t="s">
        <v>88</v>
      </c>
      <c r="I3" s="344" t="s">
        <v>61</v>
      </c>
      <c r="J3" s="351"/>
      <c r="K3" s="347" t="s">
        <v>219</v>
      </c>
      <c r="L3" s="349" t="s">
        <v>88</v>
      </c>
      <c r="M3" s="347" t="s">
        <v>147</v>
      </c>
    </row>
    <row r="4" spans="1:14" ht="15" thickBot="1" x14ac:dyDescent="0.35">
      <c r="B4" t="s">
        <v>25</v>
      </c>
      <c r="C4" s="106" t="s">
        <v>21</v>
      </c>
      <c r="D4" s="107" t="s">
        <v>22</v>
      </c>
      <c r="E4" s="107" t="s">
        <v>23</v>
      </c>
      <c r="F4" s="108" t="s">
        <v>24</v>
      </c>
      <c r="G4" s="348"/>
      <c r="H4" s="350"/>
      <c r="I4" s="6" t="s">
        <v>21</v>
      </c>
      <c r="J4" s="65" t="s">
        <v>22</v>
      </c>
      <c r="K4" s="348"/>
      <c r="L4" s="350"/>
      <c r="M4" s="348"/>
    </row>
    <row r="5" spans="1:14" x14ac:dyDescent="0.3">
      <c r="A5" s="72" t="s">
        <v>1</v>
      </c>
      <c r="B5" s="71" t="s">
        <v>0</v>
      </c>
      <c r="C5" s="66"/>
      <c r="D5" s="67"/>
      <c r="E5" s="67"/>
      <c r="F5" s="68"/>
      <c r="G5" s="85"/>
      <c r="H5" s="86"/>
      <c r="I5" s="69"/>
      <c r="J5" s="70"/>
      <c r="K5" s="91"/>
      <c r="L5" s="85"/>
      <c r="M5" s="76"/>
    </row>
    <row r="6" spans="1:14" ht="43.2" x14ac:dyDescent="0.3">
      <c r="A6" s="1" t="s">
        <v>10</v>
      </c>
      <c r="B6" s="3" t="s">
        <v>2</v>
      </c>
      <c r="C6" s="188">
        <v>6278.79</v>
      </c>
      <c r="D6" s="205">
        <v>13322.17</v>
      </c>
      <c r="E6" s="205">
        <v>12172.72</v>
      </c>
      <c r="F6" s="198">
        <v>21846.66</v>
      </c>
      <c r="G6" s="87">
        <f>47499+7000</f>
        <v>54499</v>
      </c>
      <c r="H6" s="88">
        <f>G6-C6-D6-E6-F6</f>
        <v>878.65999999999985</v>
      </c>
      <c r="I6" s="96"/>
      <c r="J6" s="97"/>
      <c r="K6" s="88">
        <f>24084+3000</f>
        <v>27084</v>
      </c>
      <c r="L6" s="88">
        <f>K6-I6-J6</f>
        <v>27084</v>
      </c>
      <c r="M6" s="94">
        <f>G6+K6</f>
        <v>81583</v>
      </c>
    </row>
    <row r="7" spans="1:14" ht="43.2" x14ac:dyDescent="0.3">
      <c r="A7" s="2" t="s">
        <v>11</v>
      </c>
      <c r="B7" s="3" t="s">
        <v>44</v>
      </c>
      <c r="C7" s="188">
        <v>0</v>
      </c>
      <c r="D7" s="205">
        <v>2933.22</v>
      </c>
      <c r="E7" s="205">
        <v>287.48</v>
      </c>
      <c r="F7" s="198">
        <v>1899.51</v>
      </c>
      <c r="G7" s="87">
        <f>10436.4-7000</f>
        <v>3436.3999999999996</v>
      </c>
      <c r="H7" s="88">
        <f>G7-C7-D7-E7-F7</f>
        <v>-1683.8100000000002</v>
      </c>
      <c r="I7" s="96"/>
      <c r="J7" s="97"/>
      <c r="K7" s="88">
        <f>5619.6-3000</f>
        <v>2619.6000000000004</v>
      </c>
      <c r="L7" s="88">
        <f>K7-I7-J7</f>
        <v>2619.6000000000004</v>
      </c>
      <c r="M7" s="94">
        <f t="shared" ref="M7:M18" si="0">G7+K7</f>
        <v>6056</v>
      </c>
    </row>
    <row r="8" spans="1:14" x14ac:dyDescent="0.3">
      <c r="A8" s="72" t="s">
        <v>3</v>
      </c>
      <c r="B8" s="71" t="s">
        <v>4</v>
      </c>
      <c r="C8" s="194"/>
      <c r="D8" s="195"/>
      <c r="E8" s="195"/>
      <c r="F8" s="196"/>
      <c r="G8" s="87"/>
      <c r="H8" s="88"/>
      <c r="I8" s="98"/>
      <c r="J8" s="99"/>
      <c r="K8" s="88"/>
      <c r="L8" s="87"/>
      <c r="M8" s="74"/>
    </row>
    <row r="9" spans="1:14" ht="28.8" x14ac:dyDescent="0.3">
      <c r="A9" s="2" t="s">
        <v>12</v>
      </c>
      <c r="B9" s="3" t="s">
        <v>5</v>
      </c>
      <c r="C9" s="188">
        <v>0</v>
      </c>
      <c r="D9" s="205">
        <v>0</v>
      </c>
      <c r="E9" s="205">
        <v>0</v>
      </c>
      <c r="F9" s="198">
        <v>0</v>
      </c>
      <c r="G9" s="87">
        <v>490</v>
      </c>
      <c r="H9" s="88">
        <f>G9-C9-D9-E9-F9</f>
        <v>490</v>
      </c>
      <c r="I9" s="96"/>
      <c r="J9" s="97"/>
      <c r="K9" s="88">
        <v>190</v>
      </c>
      <c r="L9" s="88">
        <f>K9-I9-J9</f>
        <v>190</v>
      </c>
      <c r="M9" s="94">
        <f t="shared" si="0"/>
        <v>680</v>
      </c>
    </row>
    <row r="10" spans="1:14" x14ac:dyDescent="0.3">
      <c r="A10" s="2" t="s">
        <v>13</v>
      </c>
      <c r="B10" s="3" t="s">
        <v>26</v>
      </c>
      <c r="C10" s="188">
        <v>282</v>
      </c>
      <c r="D10" s="205">
        <v>907.59</v>
      </c>
      <c r="E10" s="205">
        <v>1075.2</v>
      </c>
      <c r="F10" s="198">
        <v>319.7</v>
      </c>
      <c r="G10" s="87">
        <f>4950-2851</f>
        <v>2099</v>
      </c>
      <c r="H10" s="88">
        <f>G10-C10-D10-E10-F10</f>
        <v>-485.49000000000007</v>
      </c>
      <c r="I10" s="96"/>
      <c r="J10" s="97"/>
      <c r="K10" s="88">
        <v>290</v>
      </c>
      <c r="L10" s="88">
        <f>K10-I10-J10</f>
        <v>290</v>
      </c>
      <c r="M10" s="94">
        <f t="shared" si="0"/>
        <v>2389</v>
      </c>
    </row>
    <row r="11" spans="1:14" x14ac:dyDescent="0.3">
      <c r="A11" s="2" t="s">
        <v>14</v>
      </c>
      <c r="B11" s="3" t="s">
        <v>6</v>
      </c>
      <c r="C11" s="188">
        <v>0</v>
      </c>
      <c r="D11" s="205">
        <v>0</v>
      </c>
      <c r="E11" s="205">
        <v>0</v>
      </c>
      <c r="F11" s="198">
        <v>0</v>
      </c>
      <c r="G11" s="87">
        <v>0</v>
      </c>
      <c r="H11" s="88">
        <f>G11-C11-D11-E11-F11</f>
        <v>0</v>
      </c>
      <c r="I11" s="96"/>
      <c r="J11" s="97"/>
      <c r="K11" s="88">
        <v>0</v>
      </c>
      <c r="L11" s="88">
        <f>K11-I11-J11</f>
        <v>0</v>
      </c>
      <c r="M11" s="94">
        <f t="shared" si="0"/>
        <v>0</v>
      </c>
    </row>
    <row r="12" spans="1:14" x14ac:dyDescent="0.3">
      <c r="A12" s="2" t="s">
        <v>15</v>
      </c>
      <c r="B12" s="3" t="s">
        <v>7</v>
      </c>
      <c r="C12" s="188">
        <v>0</v>
      </c>
      <c r="D12" s="205">
        <v>0</v>
      </c>
      <c r="E12" s="205">
        <v>0</v>
      </c>
      <c r="F12" s="198">
        <v>0</v>
      </c>
      <c r="G12" s="87">
        <f>0+2000</f>
        <v>2000</v>
      </c>
      <c r="H12" s="88">
        <f>G12-C12-D12-E12-F12</f>
        <v>2000</v>
      </c>
      <c r="I12" s="96"/>
      <c r="J12" s="97"/>
      <c r="K12" s="88">
        <v>0</v>
      </c>
      <c r="L12" s="88">
        <f>K12-I12-J12</f>
        <v>0</v>
      </c>
      <c r="M12" s="94">
        <f t="shared" si="0"/>
        <v>2000</v>
      </c>
    </row>
    <row r="13" spans="1:14" s="10" customFormat="1" x14ac:dyDescent="0.3">
      <c r="A13" s="2" t="s">
        <v>16</v>
      </c>
      <c r="B13" s="3" t="s">
        <v>4</v>
      </c>
      <c r="C13" s="188">
        <v>0</v>
      </c>
      <c r="D13" s="205">
        <v>0</v>
      </c>
      <c r="E13" s="205">
        <v>0</v>
      </c>
      <c r="F13" s="198">
        <v>0</v>
      </c>
      <c r="G13" s="87">
        <v>3000</v>
      </c>
      <c r="H13" s="88">
        <f>G13-C13-D13-E13-F13</f>
        <v>3000</v>
      </c>
      <c r="I13" s="96"/>
      <c r="J13" s="97"/>
      <c r="K13" s="88">
        <v>10000</v>
      </c>
      <c r="L13" s="88">
        <f>K13-I13-J13</f>
        <v>10000</v>
      </c>
      <c r="M13" s="94">
        <f t="shared" si="0"/>
        <v>13000</v>
      </c>
      <c r="N13"/>
    </row>
    <row r="14" spans="1:14" s="10" customFormat="1" x14ac:dyDescent="0.3">
      <c r="A14" s="72" t="s">
        <v>8</v>
      </c>
      <c r="B14" s="75" t="s">
        <v>9</v>
      </c>
      <c r="C14" s="98"/>
      <c r="D14" s="113"/>
      <c r="E14" s="113"/>
      <c r="F14" s="99"/>
      <c r="G14" s="87"/>
      <c r="H14" s="88"/>
      <c r="I14" s="98"/>
      <c r="J14" s="99"/>
      <c r="K14" s="88"/>
      <c r="L14" s="87"/>
      <c r="M14" s="74"/>
      <c r="N14"/>
    </row>
    <row r="15" spans="1:14" x14ac:dyDescent="0.3">
      <c r="A15" s="9" t="s">
        <v>42</v>
      </c>
      <c r="B15" s="11" t="s">
        <v>41</v>
      </c>
      <c r="C15" s="100">
        <f>(C6+C7)*0.15</f>
        <v>941.81849999999997</v>
      </c>
      <c r="D15" s="101">
        <f t="shared" ref="D15:F15" si="1">(D6+D7)*0.15</f>
        <v>2438.3084999999996</v>
      </c>
      <c r="E15" s="101">
        <f t="shared" si="1"/>
        <v>1869.0299999999997</v>
      </c>
      <c r="F15" s="114">
        <f t="shared" si="1"/>
        <v>3561.9254999999998</v>
      </c>
      <c r="G15" s="89">
        <v>8690.31</v>
      </c>
      <c r="H15" s="88">
        <f>G15-C15-D15-E15-F15</f>
        <v>-120.77250000000049</v>
      </c>
      <c r="I15" s="100">
        <f>(I6+I7)*0.15</f>
        <v>0</v>
      </c>
      <c r="J15" s="101">
        <f t="shared" ref="J15" si="2">(J6+J7)*0.15</f>
        <v>0</v>
      </c>
      <c r="K15" s="92">
        <v>4455.54</v>
      </c>
      <c r="L15" s="88">
        <f>K15-I15-J15</f>
        <v>4455.54</v>
      </c>
      <c r="M15" s="94">
        <f t="shared" si="0"/>
        <v>13145.849999999999</v>
      </c>
      <c r="N15" s="10"/>
    </row>
    <row r="16" spans="1:14" x14ac:dyDescent="0.3">
      <c r="A16" s="9"/>
      <c r="B16" s="12" t="s">
        <v>45</v>
      </c>
      <c r="C16" s="100">
        <f>C6+C7+C9+C10+C11+C12+C13+C15</f>
        <v>7502.6085000000003</v>
      </c>
      <c r="D16" s="101">
        <f>D6+D7+D9+D10+D11+D12+D13+D15</f>
        <v>19601.288499999999</v>
      </c>
      <c r="E16" s="101">
        <f>E6+E7+E9+E10+E11+E12+E13+E15</f>
        <v>15404.43</v>
      </c>
      <c r="F16" s="114">
        <f>F6+F7+F9+F10+F11+F12+F13+F15</f>
        <v>27627.7955</v>
      </c>
      <c r="G16" s="89"/>
      <c r="H16" s="88"/>
      <c r="I16" s="100">
        <f>I6+I7+I9+I10+I11+I12+I13+I15</f>
        <v>0</v>
      </c>
      <c r="J16" s="114">
        <f>J6+J7+J9+J10+J11+J12+J13+J15</f>
        <v>0</v>
      </c>
      <c r="K16" s="89"/>
      <c r="L16" s="89"/>
      <c r="M16" s="94">
        <f t="shared" si="0"/>
        <v>0</v>
      </c>
      <c r="N16" s="10"/>
    </row>
    <row r="17" spans="1:13" x14ac:dyDescent="0.3">
      <c r="A17" s="72" t="s">
        <v>17</v>
      </c>
      <c r="B17" s="75" t="s">
        <v>18</v>
      </c>
      <c r="C17" s="102">
        <f>C16*0.2</f>
        <v>1500.5217000000002</v>
      </c>
      <c r="D17" s="103">
        <f t="shared" ref="D17:F17" si="3">D16*0.2</f>
        <v>3920.2577000000001</v>
      </c>
      <c r="E17" s="103">
        <f t="shared" si="3"/>
        <v>3080.8860000000004</v>
      </c>
      <c r="F17" s="115">
        <f t="shared" si="3"/>
        <v>5525.5591000000004</v>
      </c>
      <c r="G17" s="87">
        <f>15013.14-170.2</f>
        <v>14842.939999999999</v>
      </c>
      <c r="H17" s="88">
        <f>G17-C17-D17-E17-F17</f>
        <v>815.71549999999661</v>
      </c>
      <c r="I17" s="102">
        <f>I16*0.2</f>
        <v>0</v>
      </c>
      <c r="J17" s="115">
        <f t="shared" ref="J17" si="4">J16*0.2</f>
        <v>0</v>
      </c>
      <c r="K17" s="87">
        <v>8927.83</v>
      </c>
      <c r="L17" s="88">
        <f>K17-I17-J17</f>
        <v>8927.83</v>
      </c>
      <c r="M17" s="94">
        <f t="shared" si="0"/>
        <v>23770.769999999997</v>
      </c>
    </row>
    <row r="18" spans="1:13" ht="15" thickBot="1" x14ac:dyDescent="0.35">
      <c r="A18" s="72" t="s">
        <v>19</v>
      </c>
      <c r="B18" s="75" t="s">
        <v>20</v>
      </c>
      <c r="C18" s="104">
        <f>C16+C17</f>
        <v>9003.1301999999996</v>
      </c>
      <c r="D18" s="105">
        <f t="shared" ref="D18:F18" si="5">D16+D17</f>
        <v>23521.546199999997</v>
      </c>
      <c r="E18" s="105">
        <f t="shared" si="5"/>
        <v>18485.315999999999</v>
      </c>
      <c r="F18" s="116">
        <f>ROUNDUP((F16+F17),2)</f>
        <v>33153.360000000001</v>
      </c>
      <c r="G18" s="90">
        <f>SUM(G6:G17)</f>
        <v>89057.650000000009</v>
      </c>
      <c r="H18" s="164">
        <f>G18-C18-D18-E18-F18</f>
        <v>4894.2976000000126</v>
      </c>
      <c r="I18" s="104">
        <f>I16+I17</f>
        <v>0</v>
      </c>
      <c r="J18" s="116">
        <f t="shared" ref="J18" si="6">J16+J17</f>
        <v>0</v>
      </c>
      <c r="K18" s="90">
        <f>SUM(K6:K17)</f>
        <v>53566.97</v>
      </c>
      <c r="L18" s="164">
        <f>K18-I18-J18</f>
        <v>53566.97</v>
      </c>
      <c r="M18" s="95">
        <f t="shared" si="0"/>
        <v>142624.62</v>
      </c>
    </row>
  </sheetData>
  <mergeCells count="8">
    <mergeCell ref="K3:K4"/>
    <mergeCell ref="L3:L4"/>
    <mergeCell ref="M3:M4"/>
    <mergeCell ref="I3:J3"/>
    <mergeCell ref="B2:C2"/>
    <mergeCell ref="C3:F3"/>
    <mergeCell ref="G3:G4"/>
    <mergeCell ref="H3: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F20" sqref="F20:F22"/>
    </sheetView>
  </sheetViews>
  <sheetFormatPr defaultColWidth="53.44140625" defaultRowHeight="14.4" x14ac:dyDescent="0.3"/>
  <cols>
    <col min="1" max="1" width="4.88671875" bestFit="1" customWidth="1"/>
    <col min="2" max="2" width="36.33203125" customWidth="1"/>
    <col min="3" max="6" width="9.44140625" bestFit="1" customWidth="1"/>
    <col min="7" max="7" width="16.6640625" style="84" customWidth="1"/>
    <col min="8" max="8" width="10.33203125" style="84" bestFit="1" customWidth="1"/>
    <col min="9" max="10" width="9.44140625" bestFit="1" customWidth="1"/>
    <col min="11" max="11" width="16.5546875" style="84" customWidth="1"/>
    <col min="12" max="12" width="11.6640625" style="84" customWidth="1"/>
    <col min="13" max="13" width="10.33203125" bestFit="1" customWidth="1"/>
  </cols>
  <sheetData>
    <row r="2" spans="1:14" ht="21.75" customHeight="1" thickBot="1" x14ac:dyDescent="0.45">
      <c r="B2" s="352" t="s">
        <v>95</v>
      </c>
      <c r="C2" s="352"/>
      <c r="D2" s="352"/>
    </row>
    <row r="3" spans="1:14" ht="23.4" customHeight="1" x14ac:dyDescent="0.45">
      <c r="C3" s="353" t="s">
        <v>60</v>
      </c>
      <c r="D3" s="354"/>
      <c r="E3" s="354"/>
      <c r="F3" s="355"/>
      <c r="G3" s="347" t="s">
        <v>219</v>
      </c>
      <c r="H3" s="349" t="s">
        <v>88</v>
      </c>
      <c r="I3" s="344" t="s">
        <v>61</v>
      </c>
      <c r="J3" s="351"/>
      <c r="K3" s="347" t="s">
        <v>219</v>
      </c>
      <c r="L3" s="349" t="s">
        <v>88</v>
      </c>
      <c r="M3" s="347" t="s">
        <v>147</v>
      </c>
    </row>
    <row r="4" spans="1:14" ht="15" thickBot="1" x14ac:dyDescent="0.35">
      <c r="B4" t="s">
        <v>25</v>
      </c>
      <c r="C4" s="106" t="s">
        <v>21</v>
      </c>
      <c r="D4" s="107" t="s">
        <v>22</v>
      </c>
      <c r="E4" s="107" t="s">
        <v>23</v>
      </c>
      <c r="F4" s="108" t="s">
        <v>24</v>
      </c>
      <c r="G4" s="348"/>
      <c r="H4" s="350"/>
      <c r="I4" s="6" t="s">
        <v>21</v>
      </c>
      <c r="J4" s="65" t="s">
        <v>22</v>
      </c>
      <c r="K4" s="348"/>
      <c r="L4" s="350"/>
      <c r="M4" s="348"/>
    </row>
    <row r="5" spans="1:14" x14ac:dyDescent="0.3">
      <c r="A5" s="72" t="s">
        <v>1</v>
      </c>
      <c r="B5" s="71" t="s">
        <v>0</v>
      </c>
      <c r="C5" s="66"/>
      <c r="D5" s="67"/>
      <c r="E5" s="67"/>
      <c r="F5" s="68"/>
      <c r="G5" s="85"/>
      <c r="H5" s="86"/>
      <c r="I5" s="69"/>
      <c r="J5" s="70"/>
      <c r="K5" s="91"/>
      <c r="L5" s="85"/>
      <c r="M5" s="76"/>
    </row>
    <row r="6" spans="1:14" ht="43.2" x14ac:dyDescent="0.3">
      <c r="A6" s="1" t="s">
        <v>10</v>
      </c>
      <c r="B6" s="3" t="s">
        <v>2</v>
      </c>
      <c r="C6" s="188">
        <v>9518.8799999999992</v>
      </c>
      <c r="D6" s="197">
        <v>14279.18</v>
      </c>
      <c r="E6" s="233">
        <v>14010.05</v>
      </c>
      <c r="F6" s="198">
        <v>20608.38</v>
      </c>
      <c r="G6" s="87">
        <f>52851+12000</f>
        <v>64851</v>
      </c>
      <c r="H6" s="88">
        <f>G6-C6-D6-E6-F6</f>
        <v>6434.510000000002</v>
      </c>
      <c r="I6" s="96"/>
      <c r="J6" s="97"/>
      <c r="K6" s="88">
        <f>27295.2+2782.61</f>
        <v>30077.81</v>
      </c>
      <c r="L6" s="88">
        <f>K6-I6-J6</f>
        <v>30077.81</v>
      </c>
      <c r="M6" s="94">
        <f>G6+K6</f>
        <v>94928.81</v>
      </c>
    </row>
    <row r="7" spans="1:14" ht="43.2" x14ac:dyDescent="0.3">
      <c r="A7" s="2" t="s">
        <v>11</v>
      </c>
      <c r="B7" s="3" t="s">
        <v>44</v>
      </c>
      <c r="C7" s="188">
        <v>341.19</v>
      </c>
      <c r="D7" s="197">
        <v>1828.78</v>
      </c>
      <c r="E7" s="233">
        <v>1990.15</v>
      </c>
      <c r="F7" s="198">
        <v>3158.44</v>
      </c>
      <c r="G7" s="87">
        <v>7359</v>
      </c>
      <c r="H7" s="88">
        <f>G7-C7-D7-E7-F7</f>
        <v>40.440000000000509</v>
      </c>
      <c r="I7" s="96"/>
      <c r="J7" s="97"/>
      <c r="K7" s="88">
        <v>4014</v>
      </c>
      <c r="L7" s="88">
        <f>K7-I7-J7</f>
        <v>4014</v>
      </c>
      <c r="M7" s="94">
        <f t="shared" ref="M7:M18" si="0">G7+K7</f>
        <v>11373</v>
      </c>
    </row>
    <row r="8" spans="1:14" x14ac:dyDescent="0.3">
      <c r="A8" s="72" t="s">
        <v>3</v>
      </c>
      <c r="B8" s="71" t="s">
        <v>4</v>
      </c>
      <c r="C8" s="194"/>
      <c r="D8" s="195"/>
      <c r="E8" s="228"/>
      <c r="F8" s="196"/>
      <c r="G8" s="87"/>
      <c r="H8" s="88"/>
      <c r="I8" s="98"/>
      <c r="J8" s="99"/>
      <c r="K8" s="88"/>
      <c r="L8" s="87"/>
      <c r="M8" s="74"/>
    </row>
    <row r="9" spans="1:14" ht="28.8" x14ac:dyDescent="0.3">
      <c r="A9" s="2" t="s">
        <v>12</v>
      </c>
      <c r="B9" s="3" t="s">
        <v>5</v>
      </c>
      <c r="C9" s="188">
        <v>0</v>
      </c>
      <c r="D9" s="197">
        <v>0</v>
      </c>
      <c r="E9" s="233">
        <v>0</v>
      </c>
      <c r="F9" s="198">
        <v>0</v>
      </c>
      <c r="G9" s="87">
        <v>80</v>
      </c>
      <c r="H9" s="88">
        <f>G9-C9-D9-E9-F9</f>
        <v>80</v>
      </c>
      <c r="I9" s="96"/>
      <c r="J9" s="97"/>
      <c r="K9" s="88">
        <v>0</v>
      </c>
      <c r="L9" s="88">
        <f>K9-I9-J9</f>
        <v>0</v>
      </c>
      <c r="M9" s="94">
        <f t="shared" si="0"/>
        <v>80</v>
      </c>
    </row>
    <row r="10" spans="1:14" x14ac:dyDescent="0.3">
      <c r="A10" s="2" t="s">
        <v>13</v>
      </c>
      <c r="B10" s="3" t="s">
        <v>26</v>
      </c>
      <c r="C10" s="188">
        <v>0</v>
      </c>
      <c r="D10" s="197">
        <v>0</v>
      </c>
      <c r="E10" s="233">
        <v>0</v>
      </c>
      <c r="F10" s="198">
        <v>0</v>
      </c>
      <c r="G10" s="87">
        <f>3650-2351</f>
        <v>1299</v>
      </c>
      <c r="H10" s="88">
        <f>G10-C10-D10-E10-F10</f>
        <v>1299</v>
      </c>
      <c r="I10" s="96"/>
      <c r="J10" s="97"/>
      <c r="K10" s="88">
        <v>310</v>
      </c>
      <c r="L10" s="88">
        <f>K10-I10-J10</f>
        <v>310</v>
      </c>
      <c r="M10" s="94">
        <f t="shared" si="0"/>
        <v>1609</v>
      </c>
    </row>
    <row r="11" spans="1:14" x14ac:dyDescent="0.3">
      <c r="A11" s="2" t="s">
        <v>14</v>
      </c>
      <c r="B11" s="3" t="s">
        <v>6</v>
      </c>
      <c r="C11" s="188">
        <v>0</v>
      </c>
      <c r="D11" s="197">
        <v>0</v>
      </c>
      <c r="E11" s="233">
        <v>0</v>
      </c>
      <c r="F11" s="198">
        <v>0</v>
      </c>
      <c r="G11" s="87">
        <v>0</v>
      </c>
      <c r="H11" s="88">
        <f>G11-C11-D11-E11-F11</f>
        <v>0</v>
      </c>
      <c r="I11" s="96"/>
      <c r="J11" s="97"/>
      <c r="K11" s="88">
        <v>0</v>
      </c>
      <c r="L11" s="88">
        <f>K11-I11-J11</f>
        <v>0</v>
      </c>
      <c r="M11" s="94">
        <f t="shared" si="0"/>
        <v>0</v>
      </c>
    </row>
    <row r="12" spans="1:14" x14ac:dyDescent="0.3">
      <c r="A12" s="2" t="s">
        <v>15</v>
      </c>
      <c r="B12" s="3" t="s">
        <v>7</v>
      </c>
      <c r="C12" s="188">
        <v>0</v>
      </c>
      <c r="D12" s="197">
        <v>0</v>
      </c>
      <c r="E12" s="233">
        <v>0</v>
      </c>
      <c r="F12" s="198">
        <v>0</v>
      </c>
      <c r="G12" s="87">
        <v>0</v>
      </c>
      <c r="H12" s="88">
        <f>G12-C12-D12-E12-F12</f>
        <v>0</v>
      </c>
      <c r="I12" s="96"/>
      <c r="J12" s="97"/>
      <c r="K12" s="88">
        <v>0</v>
      </c>
      <c r="L12" s="88">
        <f>K12-I12-J12</f>
        <v>0</v>
      </c>
      <c r="M12" s="94">
        <f t="shared" si="0"/>
        <v>0</v>
      </c>
    </row>
    <row r="13" spans="1:14" s="10" customFormat="1" x14ac:dyDescent="0.3">
      <c r="A13" s="2" t="s">
        <v>16</v>
      </c>
      <c r="B13" s="3" t="s">
        <v>4</v>
      </c>
      <c r="C13" s="188">
        <v>0</v>
      </c>
      <c r="D13" s="197">
        <v>0</v>
      </c>
      <c r="E13" s="233">
        <v>1250.83</v>
      </c>
      <c r="F13" s="198">
        <v>0</v>
      </c>
      <c r="G13" s="87">
        <f>3000+1500</f>
        <v>4500</v>
      </c>
      <c r="H13" s="88">
        <f>G13-C13-D13-E13-F13</f>
        <v>3249.17</v>
      </c>
      <c r="I13" s="96"/>
      <c r="J13" s="97"/>
      <c r="K13" s="88">
        <v>10000</v>
      </c>
      <c r="L13" s="88">
        <f>K13-I13-J13</f>
        <v>10000</v>
      </c>
      <c r="M13" s="94">
        <f t="shared" si="0"/>
        <v>14500</v>
      </c>
      <c r="N13"/>
    </row>
    <row r="14" spans="1:14" s="10" customFormat="1" x14ac:dyDescent="0.3">
      <c r="A14" s="72" t="s">
        <v>8</v>
      </c>
      <c r="B14" s="75" t="s">
        <v>9</v>
      </c>
      <c r="C14" s="98"/>
      <c r="D14" s="113"/>
      <c r="E14" s="113"/>
      <c r="F14" s="99"/>
      <c r="G14" s="87"/>
      <c r="H14" s="88"/>
      <c r="I14" s="98"/>
      <c r="J14" s="99"/>
      <c r="K14" s="88"/>
      <c r="L14" s="87"/>
      <c r="M14" s="74"/>
      <c r="N14"/>
    </row>
    <row r="15" spans="1:14" x14ac:dyDescent="0.3">
      <c r="A15" s="9" t="s">
        <v>42</v>
      </c>
      <c r="B15" s="11" t="s">
        <v>41</v>
      </c>
      <c r="C15" s="100">
        <f>(C6+C7)*0.15</f>
        <v>1479.0104999999999</v>
      </c>
      <c r="D15" s="101">
        <f t="shared" ref="D15:F15" si="1">(D6+D7)*0.15</f>
        <v>2416.194</v>
      </c>
      <c r="E15" s="101">
        <f t="shared" si="1"/>
        <v>2400.0299999999997</v>
      </c>
      <c r="F15" s="114">
        <f t="shared" si="1"/>
        <v>3565.0229999999997</v>
      </c>
      <c r="G15" s="89">
        <f>9031.5+1800</f>
        <v>10831.5</v>
      </c>
      <c r="H15" s="88">
        <f>G15-C15-D15-E15-F15</f>
        <v>971.24250000000075</v>
      </c>
      <c r="I15" s="100">
        <f>(I6+I7)*0.15</f>
        <v>0</v>
      </c>
      <c r="J15" s="114">
        <f t="shared" ref="J15" si="2">(J6+J7)*0.15</f>
        <v>0</v>
      </c>
      <c r="K15" s="89">
        <f>4696.38+417.39</f>
        <v>5113.7700000000004</v>
      </c>
      <c r="L15" s="88">
        <f>K15-I15-J15</f>
        <v>5113.7700000000004</v>
      </c>
      <c r="M15" s="94">
        <f t="shared" si="0"/>
        <v>15945.27</v>
      </c>
      <c r="N15" s="10"/>
    </row>
    <row r="16" spans="1:14" x14ac:dyDescent="0.3">
      <c r="A16" s="9"/>
      <c r="B16" s="12" t="s">
        <v>45</v>
      </c>
      <c r="C16" s="100">
        <f>C6+C7+C9+C10+C11+C12+C13+C15</f>
        <v>11339.0805</v>
      </c>
      <c r="D16" s="101">
        <f>D6+D7+D9+D10+D11+D12+D13+D15</f>
        <v>18524.154000000002</v>
      </c>
      <c r="E16" s="101">
        <f>E6+E7+E9+E10+E11+E12+E13+E15</f>
        <v>19651.059999999998</v>
      </c>
      <c r="F16" s="114">
        <f>F6+F7+F9+F10+F11+F12+F13+F15</f>
        <v>27331.843000000001</v>
      </c>
      <c r="G16" s="89"/>
      <c r="H16" s="88"/>
      <c r="I16" s="100">
        <f>I6+I7+I9+I10+I11+I12+I13+I15</f>
        <v>0</v>
      </c>
      <c r="J16" s="114">
        <f>J6+J7+J9+J10+J11+J12+J13+J15</f>
        <v>0</v>
      </c>
      <c r="K16" s="89"/>
      <c r="L16" s="89"/>
      <c r="M16" s="94">
        <f t="shared" si="0"/>
        <v>0</v>
      </c>
      <c r="N16" s="10"/>
    </row>
    <row r="17" spans="1:13" x14ac:dyDescent="0.3">
      <c r="A17" s="72" t="s">
        <v>17</v>
      </c>
      <c r="B17" s="75" t="s">
        <v>18</v>
      </c>
      <c r="C17" s="102">
        <f>C16*0.2</f>
        <v>2267.8161</v>
      </c>
      <c r="D17" s="103">
        <f t="shared" ref="D17:F17" si="3">D16*0.2</f>
        <v>3704.8308000000006</v>
      </c>
      <c r="E17" s="103">
        <f t="shared" si="3"/>
        <v>3930.2119999999995</v>
      </c>
      <c r="F17" s="115">
        <f t="shared" si="3"/>
        <v>5466.3686000000007</v>
      </c>
      <c r="G17" s="87">
        <f>15194.3+2589.8</f>
        <v>17784.099999999999</v>
      </c>
      <c r="H17" s="88">
        <f>G17-C17-D17-E17-F17</f>
        <v>2414.8724999999986</v>
      </c>
      <c r="I17" s="102">
        <f>I16*0.2</f>
        <v>0</v>
      </c>
      <c r="J17" s="115">
        <f t="shared" ref="J17" si="4">J16*0.2</f>
        <v>0</v>
      </c>
      <c r="K17" s="87">
        <f>9263.12+640</f>
        <v>9903.1200000000008</v>
      </c>
      <c r="L17" s="88">
        <f>K17-I17-J17</f>
        <v>9903.1200000000008</v>
      </c>
      <c r="M17" s="94">
        <f t="shared" si="0"/>
        <v>27687.22</v>
      </c>
    </row>
    <row r="18" spans="1:13" ht="15" thickBot="1" x14ac:dyDescent="0.35">
      <c r="A18" s="72" t="s">
        <v>19</v>
      </c>
      <c r="B18" s="75" t="s">
        <v>20</v>
      </c>
      <c r="C18" s="104">
        <f>C16+C17</f>
        <v>13606.8966</v>
      </c>
      <c r="D18" s="105">
        <f t="shared" ref="D18:F18" si="5">D16+D17</f>
        <v>22228.984800000002</v>
      </c>
      <c r="E18" s="105">
        <f t="shared" si="5"/>
        <v>23581.271999999997</v>
      </c>
      <c r="F18" s="116">
        <f t="shared" si="5"/>
        <v>32798.211600000002</v>
      </c>
      <c r="G18" s="90">
        <f>SUM(G6:G17)</f>
        <v>106704.6</v>
      </c>
      <c r="H18" s="164">
        <f>G18-C18-D18-E18-F18</f>
        <v>14489.234999999993</v>
      </c>
      <c r="I18" s="104">
        <f>I16+I17</f>
        <v>0</v>
      </c>
      <c r="J18" s="116">
        <f t="shared" ref="J18" si="6">J16+J17</f>
        <v>0</v>
      </c>
      <c r="K18" s="90">
        <f>SUM(K6:K17)</f>
        <v>59418.700000000004</v>
      </c>
      <c r="L18" s="164">
        <f>K18-I18-J18</f>
        <v>59418.700000000004</v>
      </c>
      <c r="M18" s="95">
        <f t="shared" si="0"/>
        <v>166123.30000000002</v>
      </c>
    </row>
  </sheetData>
  <mergeCells count="8">
    <mergeCell ref="B2:D2"/>
    <mergeCell ref="I3:J3"/>
    <mergeCell ref="K3:K4"/>
    <mergeCell ref="L3:L4"/>
    <mergeCell ref="M3:M4"/>
    <mergeCell ref="C3:F3"/>
    <mergeCell ref="G3:G4"/>
    <mergeCell ref="H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Projekti üldandmed</vt:lpstr>
      <vt:lpstr>Projekti tegevus ja ajakava </vt:lpstr>
      <vt:lpstr>Aruandeperioodil tekkinud IO</vt:lpstr>
      <vt:lpstr>Tulemuste levit. ja rakend. </vt:lpstr>
      <vt:lpstr>Kogu projekti eelarve</vt:lpstr>
      <vt:lpstr>Tartu Ülikool</vt:lpstr>
      <vt:lpstr>Praxis</vt:lpstr>
      <vt:lpstr>CentAR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Sigrid Ots</dc:creator>
  <cp:lastModifiedBy>Kaidi Nõmmela</cp:lastModifiedBy>
  <dcterms:created xsi:type="dcterms:W3CDTF">2017-06-19T11:46:17Z</dcterms:created>
  <dcterms:modified xsi:type="dcterms:W3CDTF">2021-11-18T07:43:32Z</dcterms:modified>
</cp:coreProperties>
</file>